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ahampiho\Downloads\"/>
    </mc:Choice>
  </mc:AlternateContent>
  <xr:revisionPtr revIDLastSave="0" documentId="8_{6F24AF34-AAC8-4757-8567-FF7C48A891B1}" xr6:coauthVersionLast="44" xr6:coauthVersionMax="44" xr10:uidLastSave="{00000000-0000-0000-0000-000000000000}"/>
  <bookViews>
    <workbookView xWindow="-120" yWindow="-120" windowWidth="25440" windowHeight="15390" tabRatio="777" activeTab="1" xr2:uid="{00000000-000D-0000-FFFF-FFFF00000000}"/>
  </bookViews>
  <sheets>
    <sheet name="Instructions" sheetId="18" r:id="rId1"/>
    <sheet name="Bandwidth Calculator" sheetId="19" r:id="rId2"/>
    <sheet name="Finesse BW" sheetId="29" r:id="rId3"/>
    <sheet name="Finesse BW Data" sheetId="30" r:id="rId4"/>
    <sheet name="Finesse LD Report BW Data" sheetId="22" r:id="rId5"/>
    <sheet name="Email BW Data" sheetId="23" r:id="rId6"/>
    <sheet name="Chat BW Data" sheetId="24" r:id="rId7"/>
    <sheet name="EDBS BW Data" sheetId="25" r:id="rId8"/>
    <sheet name="REST APIs BW Data" sheetId="26" r:id="rId9"/>
    <sheet name="Fippa BW Data" sheetId="28" r:id="rId10"/>
    <sheet name="CUIC Reporting BW Data" sheetId="27" r:id="rId11"/>
  </sheets>
  <externalReferences>
    <externalReference r:id="rId12"/>
    <externalReference r:id="rId13"/>
  </externalReferences>
  <definedNames>
    <definedName name="Agent_Call_Wrap_Up_Time" localSheetId="1">'Bandwidth Calculator'!$B$17</definedName>
    <definedName name="Agent_Call_Wrap_Up_Time" localSheetId="2">'Finesse BW'!$B$15</definedName>
    <definedName name="Agent_Call_Wrap_Up_Time_v70" localSheetId="1">#REF!</definedName>
    <definedName name="Agent_Call_Wrap_Up_Time_v70" localSheetId="5">#REF!</definedName>
    <definedName name="Agent_Call_Wrap_Up_Time_v70" localSheetId="2">#REF!</definedName>
    <definedName name="Agent_Call_Wrap_Up_Time_v70" localSheetId="3">#REF!</definedName>
    <definedName name="Agent_Call_Wrap_Up_Time_v70" localSheetId="4">#REF!</definedName>
    <definedName name="Agent_Call_Wrap_Up_Time_v70" localSheetId="0">#REF!</definedName>
    <definedName name="Agent_Call_Wrap_Up_Time_v70" localSheetId="8">#REF!</definedName>
    <definedName name="Agent_Call_Wrap_Up_Time_v70">#REF!</definedName>
    <definedName name="Agent_Call_Wrap_Up_Time_v711" localSheetId="1">#REF!</definedName>
    <definedName name="Agent_Call_Wrap_Up_Time_v711" localSheetId="5">#REF!</definedName>
    <definedName name="Agent_Call_Wrap_Up_Time_v711" localSheetId="2">#REF!</definedName>
    <definedName name="Agent_Call_Wrap_Up_Time_v711" localSheetId="3">#REF!</definedName>
    <definedName name="Agent_Call_Wrap_Up_Time_v711" localSheetId="4">#REF!</definedName>
    <definedName name="Agent_Call_Wrap_Up_Time_v711" localSheetId="0">#REF!</definedName>
    <definedName name="Agent_Call_Wrap_Up_Time_v711" localSheetId="8">#REF!</definedName>
    <definedName name="Agent_Call_Wrap_Up_Time_v711">#REF!</definedName>
    <definedName name="Agent_Call_Wrap_Up_Time_v721" localSheetId="1">#REF!</definedName>
    <definedName name="Agent_Call_Wrap_Up_Time_v721" localSheetId="5">#REF!</definedName>
    <definedName name="Agent_Call_Wrap_Up_Time_v721" localSheetId="2">#REF!</definedName>
    <definedName name="Agent_Call_Wrap_Up_Time_v721" localSheetId="3">#REF!</definedName>
    <definedName name="Agent_Call_Wrap_Up_Time_v721" localSheetId="4">#REF!</definedName>
    <definedName name="Agent_Call_Wrap_Up_Time_v721" localSheetId="0">#REF!</definedName>
    <definedName name="Agent_Call_Wrap_Up_Time_v721" localSheetId="8">#REF!</definedName>
    <definedName name="Agent_Call_Wrap_Up_Time_v721">#REF!</definedName>
    <definedName name="Agent_Call_Wrap_Up_Time_v751" localSheetId="1">#REF!</definedName>
    <definedName name="Agent_Call_Wrap_Up_Time_v751" localSheetId="5">#REF!</definedName>
    <definedName name="Agent_Call_Wrap_Up_Time_v751" localSheetId="2">#REF!</definedName>
    <definedName name="Agent_Call_Wrap_Up_Time_v751" localSheetId="3">#REF!</definedName>
    <definedName name="Agent_Call_Wrap_Up_Time_v751" localSheetId="4">#REF!</definedName>
    <definedName name="Agent_Call_Wrap_Up_Time_v751" localSheetId="0">#REF!</definedName>
    <definedName name="Agent_Call_Wrap_Up_Time_v751" localSheetId="8">#REF!</definedName>
    <definedName name="Agent_Call_Wrap_Up_Time_v751">#REF!</definedName>
    <definedName name="Agent_Call_Wrap_Up_Time_v901" localSheetId="1">'Bandwidth Calculator'!$B$17</definedName>
    <definedName name="Agent_Call_Wrap_Up_Time_v901" localSheetId="5">#REF!</definedName>
    <definedName name="Agent_Call_Wrap_Up_Time_v901" localSheetId="2">'Finesse BW'!$B$15</definedName>
    <definedName name="Agent_Call_Wrap_Up_Time_v901" localSheetId="3">#REF!</definedName>
    <definedName name="Agent_Call_Wrap_Up_Time_v901" localSheetId="4">#REF!</definedName>
    <definedName name="Agent_Call_Wrap_Up_Time_v901" localSheetId="0">#REF!</definedName>
    <definedName name="Agent_Call_Wrap_Up_Time_v901" localSheetId="8">#REF!</definedName>
    <definedName name="Agent_Call_Wrap_Up_Time_v901">#REF!</definedName>
    <definedName name="Agent_Statistics_Update_Interval_v5x" localSheetId="1">#REF!</definedName>
    <definedName name="Agent_Statistics_Update_Interval_v5x" localSheetId="5">#REF!</definedName>
    <definedName name="Agent_Statistics_Update_Interval_v5x" localSheetId="2">#REF!</definedName>
    <definedName name="Agent_Statistics_Update_Interval_v5x" localSheetId="3">#REF!</definedName>
    <definedName name="Agent_Statistics_Update_Interval_v5x" localSheetId="4">#REF!</definedName>
    <definedName name="Agent_Statistics_Update_Interval_v5x" localSheetId="0">#REF!</definedName>
    <definedName name="Agent_Statistics_Update_Interval_v5x" localSheetId="8">#REF!</definedName>
    <definedName name="Agent_Statistics_Update_Interval_v5x">#REF!</definedName>
    <definedName name="Agent_Statistics_Update_Interval_v60" localSheetId="1">#REF!</definedName>
    <definedName name="Agent_Statistics_Update_Interval_v60" localSheetId="5">#REF!</definedName>
    <definedName name="Agent_Statistics_Update_Interval_v60" localSheetId="2">#REF!</definedName>
    <definedName name="Agent_Statistics_Update_Interval_v60" localSheetId="3">#REF!</definedName>
    <definedName name="Agent_Statistics_Update_Interval_v60" localSheetId="4">#REF!</definedName>
    <definedName name="Agent_Statistics_Update_Interval_v60" localSheetId="0">#REF!</definedName>
    <definedName name="Agent_Statistics_Update_Interval_v60" localSheetId="8">#REF!</definedName>
    <definedName name="Agent_Statistics_Update_Interval_v60">#REF!</definedName>
    <definedName name="Agent_Statistics_Update_Interval_v70" localSheetId="1">#REF!</definedName>
    <definedName name="Agent_Statistics_Update_Interval_v70" localSheetId="5">#REF!</definedName>
    <definedName name="Agent_Statistics_Update_Interval_v70" localSheetId="2">#REF!</definedName>
    <definedName name="Agent_Statistics_Update_Interval_v70" localSheetId="3">#REF!</definedName>
    <definedName name="Agent_Statistics_Update_Interval_v70" localSheetId="4">#REF!</definedName>
    <definedName name="Agent_Statistics_Update_Interval_v70" localSheetId="0">#REF!</definedName>
    <definedName name="Agent_Statistics_Update_Interval_v70" localSheetId="8">#REF!</definedName>
    <definedName name="Agent_Statistics_Update_Interval_v70">#REF!</definedName>
    <definedName name="Agent_Statistics_Update_Interval_v711" localSheetId="1">#REF!</definedName>
    <definedName name="Agent_Statistics_Update_Interval_v711" localSheetId="5">#REF!</definedName>
    <definedName name="Agent_Statistics_Update_Interval_v711" localSheetId="2">#REF!</definedName>
    <definedName name="Agent_Statistics_Update_Interval_v711" localSheetId="3">#REF!</definedName>
    <definedName name="Agent_Statistics_Update_Interval_v711" localSheetId="4">#REF!</definedName>
    <definedName name="Agent_Statistics_Update_Interval_v711" localSheetId="0">#REF!</definedName>
    <definedName name="Agent_Statistics_Update_Interval_v711" localSheetId="8">#REF!</definedName>
    <definedName name="Agent_Statistics_Update_Interval_v711">#REF!</definedName>
    <definedName name="Agent_Statistics_Update_Interval_v721" localSheetId="1">#REF!</definedName>
    <definedName name="Agent_Statistics_Update_Interval_v721" localSheetId="5">#REF!</definedName>
    <definedName name="Agent_Statistics_Update_Interval_v721" localSheetId="2">#REF!</definedName>
    <definedName name="Agent_Statistics_Update_Interval_v721" localSheetId="3">#REF!</definedName>
    <definedName name="Agent_Statistics_Update_Interval_v721" localSheetId="4">#REF!</definedName>
    <definedName name="Agent_Statistics_Update_Interval_v721" localSheetId="0">#REF!</definedName>
    <definedName name="Agent_Statistics_Update_Interval_v721" localSheetId="8">#REF!</definedName>
    <definedName name="Agent_Statistics_Update_Interval_v721">#REF!</definedName>
    <definedName name="Agent_Statistics_Update_Interval_v751" localSheetId="1">#REF!</definedName>
    <definedName name="Agent_Statistics_Update_Interval_v751" localSheetId="5">#REF!</definedName>
    <definedName name="Agent_Statistics_Update_Interval_v751" localSheetId="2">#REF!</definedName>
    <definedName name="Agent_Statistics_Update_Interval_v751" localSheetId="3">#REF!</definedName>
    <definedName name="Agent_Statistics_Update_Interval_v751" localSheetId="4">#REF!</definedName>
    <definedName name="Agent_Statistics_Update_Interval_v751" localSheetId="0">#REF!</definedName>
    <definedName name="Agent_Statistics_Update_Interval_v751" localSheetId="8">#REF!</definedName>
    <definedName name="Agent_Statistics_Update_Interval_v751">#REF!</definedName>
    <definedName name="Agent_Statistics_Update_Interval_v801" localSheetId="1">'Bandwidth Calculator'!$B$38</definedName>
    <definedName name="Agent_Statistics_Update_Interval_v801" localSheetId="5">#REF!</definedName>
    <definedName name="Agent_Statistics_Update_Interval_v801" localSheetId="2">'Finesse BW'!$B$38</definedName>
    <definedName name="Agent_Statistics_Update_Interval_v801" localSheetId="3">#REF!</definedName>
    <definedName name="Agent_Statistics_Update_Interval_v801" localSheetId="4">#REF!</definedName>
    <definedName name="Agent_Statistics_Update_Interval_v801" localSheetId="0">#REF!</definedName>
    <definedName name="Agent_Statistics_Update_Interval_v801" localSheetId="8">#REF!</definedName>
    <definedName name="Agent_Statistics_Update_Interval_v801">#REF!</definedName>
    <definedName name="Average_Call_Duration" localSheetId="1">'Bandwidth Calculator'!#REF!</definedName>
    <definedName name="Average_Call_Duration" localSheetId="2">'Finesse BW'!$B$16</definedName>
    <definedName name="Average_Call_Duration_v5x" localSheetId="1">#REF!</definedName>
    <definedName name="Average_Call_Duration_v5x" localSheetId="5">#REF!</definedName>
    <definedName name="Average_Call_Duration_v5x" localSheetId="2">#REF!</definedName>
    <definedName name="Average_Call_Duration_v5x" localSheetId="3">#REF!</definedName>
    <definedName name="Average_Call_Duration_v5x" localSheetId="4">#REF!</definedName>
    <definedName name="Average_Call_Duration_v5x" localSheetId="0">#REF!</definedName>
    <definedName name="Average_Call_Duration_v5x" localSheetId="8">#REF!</definedName>
    <definedName name="Average_Call_Duration_v5x">#REF!</definedName>
    <definedName name="Average_Call_Duration_v60" localSheetId="1">#REF!</definedName>
    <definedName name="Average_Call_Duration_v60" localSheetId="5">#REF!</definedName>
    <definedName name="Average_Call_Duration_v60" localSheetId="2">#REF!</definedName>
    <definedName name="Average_Call_Duration_v60" localSheetId="3">#REF!</definedName>
    <definedName name="Average_Call_Duration_v60" localSheetId="4">#REF!</definedName>
    <definedName name="Average_Call_Duration_v60" localSheetId="0">#REF!</definedName>
    <definedName name="Average_Call_Duration_v60" localSheetId="8">#REF!</definedName>
    <definedName name="Average_Call_Duration_v60">#REF!</definedName>
    <definedName name="Average_Call_Duration_v70" localSheetId="1">#REF!</definedName>
    <definedName name="Average_Call_Duration_v70" localSheetId="5">#REF!</definedName>
    <definedName name="Average_Call_Duration_v70" localSheetId="2">#REF!</definedName>
    <definedName name="Average_Call_Duration_v70" localSheetId="3">#REF!</definedName>
    <definedName name="Average_Call_Duration_v70" localSheetId="4">#REF!</definedName>
    <definedName name="Average_Call_Duration_v70" localSheetId="0">#REF!</definedName>
    <definedName name="Average_Call_Duration_v70" localSheetId="8">#REF!</definedName>
    <definedName name="Average_Call_Duration_v70">#REF!</definedName>
    <definedName name="Average_Call_Duration_v711" localSheetId="1">#REF!</definedName>
    <definedName name="Average_Call_Duration_v711" localSheetId="5">#REF!</definedName>
    <definedName name="Average_Call_Duration_v711" localSheetId="2">#REF!</definedName>
    <definedName name="Average_Call_Duration_v711" localSheetId="3">#REF!</definedName>
    <definedName name="Average_Call_Duration_v711" localSheetId="4">#REF!</definedName>
    <definedName name="Average_Call_Duration_v711" localSheetId="0">#REF!</definedName>
    <definedName name="Average_Call_Duration_v711" localSheetId="8">#REF!</definedName>
    <definedName name="Average_Call_Duration_v711">#REF!</definedName>
    <definedName name="Average_Call_Duration_v721" localSheetId="1">#REF!</definedName>
    <definedName name="Average_Call_Duration_v721" localSheetId="5">#REF!</definedName>
    <definedName name="Average_Call_Duration_v721" localSheetId="2">#REF!</definedName>
    <definedName name="Average_Call_Duration_v721" localSheetId="3">#REF!</definedName>
    <definedName name="Average_Call_Duration_v721" localSheetId="4">#REF!</definedName>
    <definedName name="Average_Call_Duration_v721" localSheetId="0">#REF!</definedName>
    <definedName name="Average_Call_Duration_v721" localSheetId="8">#REF!</definedName>
    <definedName name="Average_Call_Duration_v721">#REF!</definedName>
    <definedName name="Average_Call_Duration_v751" localSheetId="1">#REF!</definedName>
    <definedName name="Average_Call_Duration_v751" localSheetId="5">#REF!</definedName>
    <definedName name="Average_Call_Duration_v751" localSheetId="2">#REF!</definedName>
    <definedName name="Average_Call_Duration_v751" localSheetId="3">#REF!</definedName>
    <definedName name="Average_Call_Duration_v751" localSheetId="4">#REF!</definedName>
    <definedName name="Average_Call_Duration_v751" localSheetId="0">#REF!</definedName>
    <definedName name="Average_Call_Duration_v751" localSheetId="8">#REF!</definedName>
    <definedName name="Average_Call_Duration_v751">#REF!</definedName>
    <definedName name="Average_Call_Duration_v901" localSheetId="1">'Bandwidth Calculator'!#REF!</definedName>
    <definedName name="Average_Call_Duration_v901" localSheetId="5">#REF!</definedName>
    <definedName name="Average_Call_Duration_v901" localSheetId="2">'Finesse BW'!$B$16</definedName>
    <definedName name="Average_Call_Duration_v901" localSheetId="3">#REF!</definedName>
    <definedName name="Average_Call_Duration_v901" localSheetId="4">#REF!</definedName>
    <definedName name="Average_Call_Duration_v901" localSheetId="0">#REF!</definedName>
    <definedName name="Average_Call_Duration_v901" localSheetId="8">#REF!</definedName>
    <definedName name="Average_Call_Duration_v901">#REF!</definedName>
    <definedName name="Average_number_of_Agent_Skill_Groups_Monitored_by_a_Supervisor_v5x" localSheetId="1">#REF!</definedName>
    <definedName name="Average_number_of_Agent_Skill_Groups_Monitored_by_a_Supervisor_v5x" localSheetId="5">#REF!</definedName>
    <definedName name="Average_number_of_Agent_Skill_Groups_Monitored_by_a_Supervisor_v5x" localSheetId="2">#REF!</definedName>
    <definedName name="Average_number_of_Agent_Skill_Groups_Monitored_by_a_Supervisor_v5x" localSheetId="3">#REF!</definedName>
    <definedName name="Average_number_of_Agent_Skill_Groups_Monitored_by_a_Supervisor_v5x" localSheetId="4">#REF!</definedName>
    <definedName name="Average_number_of_Agent_Skill_Groups_Monitored_by_a_Supervisor_v5x" localSheetId="0">#REF!</definedName>
    <definedName name="Average_number_of_Agent_Skill_Groups_Monitored_by_a_Supervisor_v5x" localSheetId="8">#REF!</definedName>
    <definedName name="Average_number_of_Agent_Skill_Groups_Monitored_by_a_Supervisor_v5x">#REF!</definedName>
    <definedName name="Average_number_of_Agent_Skill_Groups_Monitored_by_a_Supervisor_v60" localSheetId="1">#REF!</definedName>
    <definedName name="Average_number_of_Agent_Skill_Groups_Monitored_by_a_Supervisor_v60" localSheetId="5">#REF!</definedName>
    <definedName name="Average_number_of_Agent_Skill_Groups_Monitored_by_a_Supervisor_v60" localSheetId="2">#REF!</definedName>
    <definedName name="Average_number_of_Agent_Skill_Groups_Monitored_by_a_Supervisor_v60" localSheetId="3">#REF!</definedName>
    <definedName name="Average_number_of_Agent_Skill_Groups_Monitored_by_a_Supervisor_v60" localSheetId="4">#REF!</definedName>
    <definedName name="Average_number_of_Agent_Skill_Groups_Monitored_by_a_Supervisor_v60" localSheetId="0">#REF!</definedName>
    <definedName name="Average_number_of_Agent_Skill_Groups_Monitored_by_a_Supervisor_v60" localSheetId="8">#REF!</definedName>
    <definedName name="Average_number_of_Agent_Skill_Groups_Monitored_by_a_Supervisor_v60">#REF!</definedName>
    <definedName name="Average_number_of_Agent_Skill_Groups_Monitored_by_a_Supervisor_v70" localSheetId="1">#REF!</definedName>
    <definedName name="Average_number_of_Agent_Skill_Groups_Monitored_by_a_Supervisor_v70" localSheetId="5">#REF!</definedName>
    <definedName name="Average_number_of_Agent_Skill_Groups_Monitored_by_a_Supervisor_v70" localSheetId="2">#REF!</definedName>
    <definedName name="Average_number_of_Agent_Skill_Groups_Monitored_by_a_Supervisor_v70" localSheetId="3">#REF!</definedName>
    <definedName name="Average_number_of_Agent_Skill_Groups_Monitored_by_a_Supervisor_v70" localSheetId="4">#REF!</definedName>
    <definedName name="Average_number_of_Agent_Skill_Groups_Monitored_by_a_Supervisor_v70" localSheetId="0">#REF!</definedName>
    <definedName name="Average_number_of_Agent_Skill_Groups_Monitored_by_a_Supervisor_v70" localSheetId="8">#REF!</definedName>
    <definedName name="Average_number_of_Agent_Skill_Groups_Monitored_by_a_Supervisor_v70">#REF!</definedName>
    <definedName name="Average_number_of_Agent_Skill_Groups_Monitored_by_a_Supervisor_v711" localSheetId="1">#REF!</definedName>
    <definedName name="Average_number_of_Agent_Skill_Groups_Monitored_by_a_Supervisor_v711" localSheetId="5">#REF!</definedName>
    <definedName name="Average_number_of_Agent_Skill_Groups_Monitored_by_a_Supervisor_v711" localSheetId="2">#REF!</definedName>
    <definedName name="Average_number_of_Agent_Skill_Groups_Monitored_by_a_Supervisor_v711" localSheetId="3">#REF!</definedName>
    <definedName name="Average_number_of_Agent_Skill_Groups_Monitored_by_a_Supervisor_v711" localSheetId="4">#REF!</definedName>
    <definedName name="Average_number_of_Agent_Skill_Groups_Monitored_by_a_Supervisor_v711" localSheetId="0">#REF!</definedName>
    <definedName name="Average_number_of_Agent_Skill_Groups_Monitored_by_a_Supervisor_v711" localSheetId="8">#REF!</definedName>
    <definedName name="Average_number_of_Agent_Skill_Groups_Monitored_by_a_Supervisor_v711">#REF!</definedName>
    <definedName name="Average_number_of_Agent_Skill_Groups_Monitored_by_a_Supervisor_v721" localSheetId="1">#REF!</definedName>
    <definedName name="Average_number_of_Agent_Skill_Groups_Monitored_by_a_Supervisor_v721" localSheetId="5">#REF!</definedName>
    <definedName name="Average_number_of_Agent_Skill_Groups_Monitored_by_a_Supervisor_v721" localSheetId="2">#REF!</definedName>
    <definedName name="Average_number_of_Agent_Skill_Groups_Monitored_by_a_Supervisor_v721" localSheetId="3">#REF!</definedName>
    <definedName name="Average_number_of_Agent_Skill_Groups_Monitored_by_a_Supervisor_v721" localSheetId="4">#REF!</definedName>
    <definedName name="Average_number_of_Agent_Skill_Groups_Monitored_by_a_Supervisor_v721" localSheetId="0">#REF!</definedName>
    <definedName name="Average_number_of_Agent_Skill_Groups_Monitored_by_a_Supervisor_v721" localSheetId="8">#REF!</definedName>
    <definedName name="Average_number_of_Agent_Skill_Groups_Monitored_by_a_Supervisor_v721">#REF!</definedName>
    <definedName name="Average_number_of_Agent_Skill_Groups_Monitored_by_a_Supervisor_v751" localSheetId="1">#REF!</definedName>
    <definedName name="Average_number_of_Agent_Skill_Groups_Monitored_by_a_Supervisor_v751" localSheetId="5">#REF!</definedName>
    <definedName name="Average_number_of_Agent_Skill_Groups_Monitored_by_a_Supervisor_v751" localSheetId="2">#REF!</definedName>
    <definedName name="Average_number_of_Agent_Skill_Groups_Monitored_by_a_Supervisor_v751" localSheetId="3">#REF!</definedName>
    <definedName name="Average_number_of_Agent_Skill_Groups_Monitored_by_a_Supervisor_v751" localSheetId="4">#REF!</definedName>
    <definedName name="Average_number_of_Agent_Skill_Groups_Monitored_by_a_Supervisor_v751" localSheetId="0">#REF!</definedName>
    <definedName name="Average_number_of_Agent_Skill_Groups_Monitored_by_a_Supervisor_v751" localSheetId="8">#REF!</definedName>
    <definedName name="Average_number_of_Agent_Skill_Groups_Monitored_by_a_Supervisor_v751">#REF!</definedName>
    <definedName name="Average_number_of_Agent_Skill_Groups_Monitored_by_a_Supervisor_v901" localSheetId="1">'Bandwidth Calculator'!#REF!</definedName>
    <definedName name="Average_number_of_Agent_Skill_Groups_Monitored_by_a_Supervisor_v901" localSheetId="5">#REF!</definedName>
    <definedName name="Average_number_of_Agent_Skill_Groups_Monitored_by_a_Supervisor_v901" localSheetId="2">'Finesse BW'!#REF!</definedName>
    <definedName name="Average_number_of_Agent_Skill_Groups_Monitored_by_a_Supervisor_v901" localSheetId="3">#REF!</definedName>
    <definedName name="Average_number_of_Agent_Skill_Groups_Monitored_by_a_Supervisor_v901" localSheetId="4">#REF!</definedName>
    <definedName name="Average_number_of_Agent_Skill_Groups_Monitored_by_a_Supervisor_v901" localSheetId="0">#REF!</definedName>
    <definedName name="Average_number_of_Agent_Skill_Groups_Monitored_by_a_Supervisor_v901" localSheetId="8">#REF!</definedName>
    <definedName name="Average_number_of_Agent_Skill_Groups_Monitored_by_a_Supervisor_v901">#REF!</definedName>
    <definedName name="Average_number_of_agents_per_Team" localSheetId="1">'Bandwidth Calculator'!$B$31</definedName>
    <definedName name="Average_number_of_agents_per_Team" localSheetId="2">'Finesse BW'!$B$31</definedName>
    <definedName name="Average_number_of_agents_per_team_v901" localSheetId="1">'Bandwidth Calculator'!$B$31</definedName>
    <definedName name="Average_number_of_agents_per_team_v901" localSheetId="5">#REF!</definedName>
    <definedName name="Average_number_of_agents_per_team_v901" localSheetId="2">'Finesse BW'!$B$31</definedName>
    <definedName name="Average_number_of_agents_per_team_v901" localSheetId="3">#REF!</definedName>
    <definedName name="Average_number_of_agents_per_team_v901" localSheetId="4">#REF!</definedName>
    <definedName name="Average_number_of_agents_per_team_v901" localSheetId="0">#REF!</definedName>
    <definedName name="Average_number_of_agents_per_team_v901" localSheetId="8">#REF!</definedName>
    <definedName name="Average_number_of_agents_per_team_v901">#REF!</definedName>
    <definedName name="Average_number_of_Skill_Groups_per_Agent_v5x" localSheetId="1">#REF!</definedName>
    <definedName name="Average_number_of_Skill_Groups_per_Agent_v5x" localSheetId="5">#REF!</definedName>
    <definedName name="Average_number_of_Skill_Groups_per_Agent_v5x" localSheetId="2">#REF!</definedName>
    <definedName name="Average_number_of_Skill_Groups_per_Agent_v5x" localSheetId="3">#REF!</definedName>
    <definedName name="Average_number_of_Skill_Groups_per_Agent_v5x" localSheetId="4">#REF!</definedName>
    <definedName name="Average_number_of_Skill_Groups_per_Agent_v5x" localSheetId="0">#REF!</definedName>
    <definedName name="Average_number_of_Skill_Groups_per_Agent_v5x" localSheetId="8">#REF!</definedName>
    <definedName name="Average_number_of_Skill_Groups_per_Agent_v5x">#REF!</definedName>
    <definedName name="Average_number_of_Skill_Groups_per_Agent_v60" localSheetId="1">#REF!</definedName>
    <definedName name="Average_number_of_Skill_Groups_per_Agent_v60" localSheetId="5">#REF!</definedName>
    <definedName name="Average_number_of_Skill_Groups_per_Agent_v60" localSheetId="2">#REF!</definedName>
    <definedName name="Average_number_of_Skill_Groups_per_Agent_v60" localSheetId="3">#REF!</definedName>
    <definedName name="Average_number_of_Skill_Groups_per_Agent_v60" localSheetId="4">#REF!</definedName>
    <definedName name="Average_number_of_Skill_Groups_per_Agent_v60" localSheetId="0">#REF!</definedName>
    <definedName name="Average_number_of_Skill_Groups_per_Agent_v60" localSheetId="8">#REF!</definedName>
    <definedName name="Average_number_of_Skill_Groups_per_Agent_v60">#REF!</definedName>
    <definedName name="Average_number_of_Skill_Groups_per_Agent_v70" localSheetId="1">#REF!</definedName>
    <definedName name="Average_number_of_Skill_Groups_per_Agent_v70" localSheetId="5">#REF!</definedName>
    <definedName name="Average_number_of_Skill_Groups_per_Agent_v70" localSheetId="2">#REF!</definedName>
    <definedName name="Average_number_of_Skill_Groups_per_Agent_v70" localSheetId="3">#REF!</definedName>
    <definedName name="Average_number_of_Skill_Groups_per_Agent_v70" localSheetId="4">#REF!</definedName>
    <definedName name="Average_number_of_Skill_Groups_per_Agent_v70" localSheetId="0">#REF!</definedName>
    <definedName name="Average_number_of_Skill_Groups_per_Agent_v70" localSheetId="8">#REF!</definedName>
    <definedName name="Average_number_of_Skill_Groups_per_Agent_v70">#REF!</definedName>
    <definedName name="Average_number_of_Skill_Groups_per_Agent_v711" localSheetId="1">#REF!</definedName>
    <definedName name="Average_number_of_Skill_Groups_per_Agent_v711" localSheetId="5">#REF!</definedName>
    <definedName name="Average_number_of_Skill_Groups_per_Agent_v711" localSheetId="2">#REF!</definedName>
    <definedName name="Average_number_of_Skill_Groups_per_Agent_v711" localSheetId="3">#REF!</definedName>
    <definedName name="Average_number_of_Skill_Groups_per_Agent_v711" localSheetId="4">#REF!</definedName>
    <definedName name="Average_number_of_Skill_Groups_per_Agent_v711" localSheetId="0">#REF!</definedName>
    <definedName name="Average_number_of_Skill_Groups_per_Agent_v711" localSheetId="8">#REF!</definedName>
    <definedName name="Average_number_of_Skill_Groups_per_Agent_v711">#REF!</definedName>
    <definedName name="Average_number_of_Skill_Groups_per_Agent_v721" localSheetId="1">#REF!</definedName>
    <definedName name="Average_number_of_Skill_Groups_per_Agent_v721" localSheetId="5">#REF!</definedName>
    <definedName name="Average_number_of_Skill_Groups_per_Agent_v721" localSheetId="2">#REF!</definedName>
    <definedName name="Average_number_of_Skill_Groups_per_Agent_v721" localSheetId="3">#REF!</definedName>
    <definedName name="Average_number_of_Skill_Groups_per_Agent_v721" localSheetId="4">#REF!</definedName>
    <definedName name="Average_number_of_Skill_Groups_per_Agent_v721" localSheetId="0">#REF!</definedName>
    <definedName name="Average_number_of_Skill_Groups_per_Agent_v721" localSheetId="8">#REF!</definedName>
    <definedName name="Average_number_of_Skill_Groups_per_Agent_v721">#REF!</definedName>
    <definedName name="Average_number_of_Skill_Groups_per_Agent_v751" localSheetId="1">#REF!</definedName>
    <definedName name="Average_number_of_Skill_Groups_per_Agent_v751" localSheetId="5">#REF!</definedName>
    <definedName name="Average_number_of_Skill_Groups_per_Agent_v751" localSheetId="2">#REF!</definedName>
    <definedName name="Average_number_of_Skill_Groups_per_Agent_v751" localSheetId="3">#REF!</definedName>
    <definedName name="Average_number_of_Skill_Groups_per_Agent_v751" localSheetId="4">#REF!</definedName>
    <definedName name="Average_number_of_Skill_Groups_per_Agent_v751" localSheetId="0">#REF!</definedName>
    <definedName name="Average_number_of_Skill_Groups_per_Agent_v751" localSheetId="8">#REF!</definedName>
    <definedName name="Average_number_of_Skill_Groups_per_Agent_v751">#REF!</definedName>
    <definedName name="Average_number_of_Skill_Groups_per_Agent_v901" localSheetId="1">'Bandwidth Calculator'!$B$30</definedName>
    <definedName name="Average_number_of_Skill_Groups_per_Agent_v901" localSheetId="5">#REF!</definedName>
    <definedName name="Average_number_of_Skill_Groups_per_Agent_v901" localSheetId="2">'Finesse BW'!$B$30</definedName>
    <definedName name="Average_number_of_Skill_Groups_per_Agent_v901" localSheetId="3">#REF!</definedName>
    <definedName name="Average_number_of_Skill_Groups_per_Agent_v901" localSheetId="4">#REF!</definedName>
    <definedName name="Average_number_of_Skill_Groups_per_Agent_v901" localSheetId="0">#REF!</definedName>
    <definedName name="Average_number_of_Skill_Groups_per_Agent_v901" localSheetId="8">#REF!</definedName>
    <definedName name="Average_number_of_Skill_Groups_per_Agent_v901">#REF!</definedName>
    <definedName name="Average_number_of_Skill_Groups_per_Supervisor" localSheetId="1">'Bandwidth Calculator'!$B$32</definedName>
    <definedName name="Average_number_of_Skill_Groups_per_Supervisor" localSheetId="2">'Finesse BW'!$B$32</definedName>
    <definedName name="Avg_Agent_State_Changes_Per_Call_NoWrap" localSheetId="5">'[1]Voice BW Data'!$B$33</definedName>
    <definedName name="Avg_Agent_State_Changes_Per_Call_NoWrap" localSheetId="2">'Finesse BW Data'!$B$41</definedName>
    <definedName name="Avg_Agent_State_Changes_Per_Call_NoWrap" localSheetId="3">'Finesse BW Data'!$B$41</definedName>
    <definedName name="Avg_Agent_State_Changes_Per_Call_NoWrap">#REF!</definedName>
    <definedName name="Avg_Agent_State_Changes_Per_Call_NoWrap_v91" localSheetId="3">'Finesse BW Data'!$D$41</definedName>
    <definedName name="Avg_Agent_State_Changes_Per_Call_NoWrap_v91">#REF!</definedName>
    <definedName name="Avg_Agent_State_Changes_Per_Call_Wrap" localSheetId="5">'[1]Voice BW Data'!$B$34</definedName>
    <definedName name="Avg_Agent_State_Changes_Per_Call_Wrap" localSheetId="2">'Finesse BW Data'!$B$42</definedName>
    <definedName name="Avg_Agent_State_Changes_Per_Call_Wrap" localSheetId="3">'Finesse BW Data'!$B$42</definedName>
    <definedName name="Avg_Agent_State_Changes_Per_Call_Wrap">#REF!</definedName>
    <definedName name="Avg_Agent_State_Changes_Per_Call_Wrap_v91" localSheetId="3">'Finesse BW Data'!$D$42</definedName>
    <definedName name="Avg_Agent_State_Changes_Per_Call_Wrap_v91">#REF!</definedName>
    <definedName name="Avg_Number_Dialog_Events_Per_ConfCall" localSheetId="5">'[1]Voice BW Data'!$B$37</definedName>
    <definedName name="Avg_Number_Dialog_Events_Per_ConfCall" localSheetId="2">'Finesse BW Data'!$B$45</definedName>
    <definedName name="Avg_Number_Dialog_Events_Per_ConfCall" localSheetId="3">'Finesse BW Data'!$B$45</definedName>
    <definedName name="Avg_Number_Dialog_Events_Per_ConfCall">#REF!</definedName>
    <definedName name="Avg_Number_Dialog_Events_Per_IncomingCall" localSheetId="5">'[1]Voice BW Data'!$B$36</definedName>
    <definedName name="Avg_Number_Dialog_Events_Per_IncomingCall" localSheetId="2">'Finesse BW Data'!$B$44</definedName>
    <definedName name="Avg_Number_Dialog_Events_Per_IncomingCall" localSheetId="3">'Finesse BW Data'!$B$44</definedName>
    <definedName name="Avg_Number_Dialog_Events_Per_IncomingCall">#REF!</definedName>
    <definedName name="Avg_Number_Dialog_Events_Per_OutCall" localSheetId="5">'[1]Voice BW Data'!$B$38</definedName>
    <definedName name="Avg_Number_Dialog_Events_Per_OutCall" localSheetId="2">'Finesse BW Data'!$B$46</definedName>
    <definedName name="Avg_Number_Dialog_Events_Per_OutCall" localSheetId="3">'Finesse BW Data'!$B$46</definedName>
    <definedName name="Avg_Number_Dialog_Events_Per_OutCall">#REF!</definedName>
    <definedName name="Avg_Number_Dialog_Events_Per_XferCall" localSheetId="5">'[1]Voice BW Data'!$B$39</definedName>
    <definedName name="Avg_Number_Dialog_Events_Per_XferCall" localSheetId="2">'Finesse BW Data'!$B$47</definedName>
    <definedName name="Avg_Number_Dialog_Events_Per_XferCall" localSheetId="3">'Finesse BW Data'!$B$47</definedName>
    <definedName name="Avg_Number_Dialog_Events_Per_XferCall">#REF!</definedName>
    <definedName name="Bandwidth_Confidence_Factor_v5x" localSheetId="1">#REF!</definedName>
    <definedName name="Bandwidth_Confidence_Factor_v5x" localSheetId="5">'[1]Voice BW Data'!#REF!</definedName>
    <definedName name="Bandwidth_Confidence_Factor_v5x" localSheetId="2">'Finesse BW Data'!#REF!</definedName>
    <definedName name="Bandwidth_Confidence_Factor_v5x" localSheetId="3">'Finesse BW Data'!#REF!</definedName>
    <definedName name="Bandwidth_Confidence_Factor_v5x" localSheetId="4">#REF!</definedName>
    <definedName name="Bandwidth_Confidence_Factor_v5x" localSheetId="0">#REF!</definedName>
    <definedName name="Bandwidth_Confidence_Factor_v5x" localSheetId="8">#REF!</definedName>
    <definedName name="Bandwidth_Confidence_Factor_v5x">#REF!</definedName>
    <definedName name="Bandwidth_Confidence_Factor_v60" localSheetId="1">#REF!</definedName>
    <definedName name="Bandwidth_Confidence_Factor_v60" localSheetId="5">'[1]Voice BW Data'!#REF!</definedName>
    <definedName name="Bandwidth_Confidence_Factor_v60" localSheetId="2">'Finesse BW Data'!#REF!</definedName>
    <definedName name="Bandwidth_Confidence_Factor_v60" localSheetId="3">'Finesse BW Data'!#REF!</definedName>
    <definedName name="Bandwidth_Confidence_Factor_v60" localSheetId="4">#REF!</definedName>
    <definedName name="Bandwidth_Confidence_Factor_v60" localSheetId="0">#REF!</definedName>
    <definedName name="Bandwidth_Confidence_Factor_v60" localSheetId="8">#REF!</definedName>
    <definedName name="Bandwidth_Confidence_Factor_v60">#REF!</definedName>
    <definedName name="Bandwidth_Confidence_Factor_v70_Security_On" localSheetId="1">#REF!</definedName>
    <definedName name="Bandwidth_Confidence_Factor_v70_Security_On" localSheetId="5">'[1]Voice BW Data'!#REF!</definedName>
    <definedName name="Bandwidth_Confidence_Factor_v70_Security_On" localSheetId="2">'Finesse BW Data'!#REF!</definedName>
    <definedName name="Bandwidth_Confidence_Factor_v70_Security_On" localSheetId="3">'Finesse BW Data'!#REF!</definedName>
    <definedName name="Bandwidth_Confidence_Factor_v70_Security_On" localSheetId="4">#REF!</definedName>
    <definedName name="Bandwidth_Confidence_Factor_v70_Security_On" localSheetId="0">#REF!</definedName>
    <definedName name="Bandwidth_Confidence_Factor_v70_Security_On" localSheetId="8">#REF!</definedName>
    <definedName name="Bandwidth_Confidence_Factor_v70_Security_On">#REF!</definedName>
    <definedName name="Bandwidth_Confidence_Factor_v711_Security_Off" localSheetId="1">#REF!</definedName>
    <definedName name="Bandwidth_Confidence_Factor_v711_Security_Off" localSheetId="5">'[1]Voice BW Data'!#REF!</definedName>
    <definedName name="Bandwidth_Confidence_Factor_v711_Security_Off" localSheetId="2">'Finesse BW Data'!#REF!</definedName>
    <definedName name="Bandwidth_Confidence_Factor_v711_Security_Off" localSheetId="3">'Finesse BW Data'!#REF!</definedName>
    <definedName name="Bandwidth_Confidence_Factor_v711_Security_Off" localSheetId="4">#REF!</definedName>
    <definedName name="Bandwidth_Confidence_Factor_v711_Security_Off" localSheetId="0">#REF!</definedName>
    <definedName name="Bandwidth_Confidence_Factor_v711_Security_Off" localSheetId="8">#REF!</definedName>
    <definedName name="Bandwidth_Confidence_Factor_v711_Security_Off">#REF!</definedName>
    <definedName name="Bandwidth_Confidence_Factor_v711_Security_On" localSheetId="1">#REF!</definedName>
    <definedName name="Bandwidth_Confidence_Factor_v711_Security_On" localSheetId="5">'[1]Voice BW Data'!#REF!</definedName>
    <definedName name="Bandwidth_Confidence_Factor_v711_Security_On" localSheetId="2">'Finesse BW Data'!#REF!</definedName>
    <definedName name="Bandwidth_Confidence_Factor_v711_Security_On" localSheetId="3">'Finesse BW Data'!#REF!</definedName>
    <definedName name="Bandwidth_Confidence_Factor_v711_Security_On" localSheetId="4">#REF!</definedName>
    <definedName name="Bandwidth_Confidence_Factor_v711_Security_On" localSheetId="0">#REF!</definedName>
    <definedName name="Bandwidth_Confidence_Factor_v711_Security_On" localSheetId="8">#REF!</definedName>
    <definedName name="Bandwidth_Confidence_Factor_v711_Security_On">#REF!</definedName>
    <definedName name="Bandwidth_Confidence_Factor_v721_Security_Off" localSheetId="1">#REF!</definedName>
    <definedName name="Bandwidth_Confidence_Factor_v721_Security_Off" localSheetId="5">'[1]Voice BW Data'!#REF!</definedName>
    <definedName name="Bandwidth_Confidence_Factor_v721_Security_Off" localSheetId="2">'Finesse BW Data'!#REF!</definedName>
    <definedName name="Bandwidth_Confidence_Factor_v721_Security_Off" localSheetId="3">'Finesse BW Data'!#REF!</definedName>
    <definedName name="Bandwidth_Confidence_Factor_v721_Security_Off" localSheetId="4">#REF!</definedName>
    <definedName name="Bandwidth_Confidence_Factor_v721_Security_Off" localSheetId="0">#REF!</definedName>
    <definedName name="Bandwidth_Confidence_Factor_v721_Security_Off" localSheetId="8">#REF!</definedName>
    <definedName name="Bandwidth_Confidence_Factor_v721_Security_Off">#REF!</definedName>
    <definedName name="Bandwidth_Confidence_Factor_v721_Security_On" localSheetId="1">#REF!</definedName>
    <definedName name="Bandwidth_Confidence_Factor_v721_Security_On" localSheetId="5">'[1]Voice BW Data'!#REF!</definedName>
    <definedName name="Bandwidth_Confidence_Factor_v721_Security_On" localSheetId="2">'Finesse BW Data'!#REF!</definedName>
    <definedName name="Bandwidth_Confidence_Factor_v721_Security_On" localSheetId="3">'Finesse BW Data'!#REF!</definedName>
    <definedName name="Bandwidth_Confidence_Factor_v721_Security_On" localSheetId="4">#REF!</definedName>
    <definedName name="Bandwidth_Confidence_Factor_v721_Security_On" localSheetId="0">#REF!</definedName>
    <definedName name="Bandwidth_Confidence_Factor_v721_Security_On" localSheetId="8">#REF!</definedName>
    <definedName name="Bandwidth_Confidence_Factor_v721_Security_On">#REF!</definedName>
    <definedName name="Bandwidth_Confidence_Factor_v751_Security_Off" localSheetId="1">#REF!</definedName>
    <definedName name="Bandwidth_Confidence_Factor_v751_Security_Off" localSheetId="5">'[1]Voice BW Data'!#REF!</definedName>
    <definedName name="Bandwidth_Confidence_Factor_v751_Security_Off" localSheetId="2">'Finesse BW Data'!#REF!</definedName>
    <definedName name="Bandwidth_Confidence_Factor_v751_Security_Off" localSheetId="3">'Finesse BW Data'!#REF!</definedName>
    <definedName name="Bandwidth_Confidence_Factor_v751_Security_Off" localSheetId="4">#REF!</definedName>
    <definedName name="Bandwidth_Confidence_Factor_v751_Security_Off" localSheetId="0">#REF!</definedName>
    <definedName name="Bandwidth_Confidence_Factor_v751_Security_Off" localSheetId="8">#REF!</definedName>
    <definedName name="Bandwidth_Confidence_Factor_v751_Security_Off">#REF!</definedName>
    <definedName name="Bandwidth_Confidence_Factor_v751_Security_On" localSheetId="1">#REF!</definedName>
    <definedName name="Bandwidth_Confidence_Factor_v751_Security_On" localSheetId="5">'[1]Voice BW Data'!#REF!</definedName>
    <definedName name="Bandwidth_Confidence_Factor_v751_Security_On" localSheetId="2">'Finesse BW Data'!#REF!</definedName>
    <definedName name="Bandwidth_Confidence_Factor_v751_Security_On" localSheetId="3">'Finesse BW Data'!#REF!</definedName>
    <definedName name="Bandwidth_Confidence_Factor_v751_Security_On" localSheetId="4">#REF!</definedName>
    <definedName name="Bandwidth_Confidence_Factor_v751_Security_On" localSheetId="0">#REF!</definedName>
    <definedName name="Bandwidth_Confidence_Factor_v751_Security_On" localSheetId="8">#REF!</definedName>
    <definedName name="Bandwidth_Confidence_Factor_v751_Security_On">#REF!</definedName>
    <definedName name="Bandwidth_Confidence_Factor_v9" localSheetId="5">'[1]Voice BW Data'!$B$31</definedName>
    <definedName name="Bandwidth_Confidence_Factor_v9" localSheetId="2">'Finesse BW Data'!$B$39</definedName>
    <definedName name="Bandwidth_Confidence_Factor_v9" localSheetId="3">'Finesse BW Data'!$B$39</definedName>
    <definedName name="Bandwidth_Confidence_Factor_v9">#REF!</definedName>
    <definedName name="Bandwidth_Confidence_Factor_v91" localSheetId="3">'Finesse BW Data'!$D$39</definedName>
    <definedName name="Bandwidth_Confidence_Factor_v91">#REF!</definedName>
    <definedName name="BHCA" localSheetId="1">'Bandwidth Calculator'!$B$16</definedName>
    <definedName name="BHCA" localSheetId="2">'Finesse BW'!$B$14</definedName>
    <definedName name="BHCA_v5x" localSheetId="1">#REF!</definedName>
    <definedName name="BHCA_v5x" localSheetId="5">#REF!</definedName>
    <definedName name="BHCA_v5x" localSheetId="2">#REF!</definedName>
    <definedName name="BHCA_v5x" localSheetId="3">#REF!</definedName>
    <definedName name="BHCA_v5x" localSheetId="4">#REF!</definedName>
    <definedName name="BHCA_v5x" localSheetId="0">#REF!</definedName>
    <definedName name="BHCA_v5x" localSheetId="8">#REF!</definedName>
    <definedName name="BHCA_v5x">#REF!</definedName>
    <definedName name="BHCA_v60" localSheetId="1">#REF!</definedName>
    <definedName name="BHCA_v60" localSheetId="5">#REF!</definedName>
    <definedName name="BHCA_v60" localSheetId="2">#REF!</definedName>
    <definedName name="BHCA_v60" localSheetId="3">#REF!</definedName>
    <definedName name="BHCA_v60" localSheetId="4">#REF!</definedName>
    <definedName name="BHCA_v60" localSheetId="0">#REF!</definedName>
    <definedName name="BHCA_v60" localSheetId="8">#REF!</definedName>
    <definedName name="BHCA_v60">#REF!</definedName>
    <definedName name="BHCA_v70" localSheetId="1">#REF!</definedName>
    <definedName name="BHCA_v70" localSheetId="5">#REF!</definedName>
    <definedName name="BHCA_v70" localSheetId="2">#REF!</definedName>
    <definedName name="BHCA_v70" localSheetId="3">#REF!</definedName>
    <definedName name="BHCA_v70" localSheetId="4">#REF!</definedName>
    <definedName name="BHCA_v70" localSheetId="0">#REF!</definedName>
    <definedName name="BHCA_v70" localSheetId="8">#REF!</definedName>
    <definedName name="BHCA_v70">#REF!</definedName>
    <definedName name="BHCA_v711" localSheetId="1">#REF!</definedName>
    <definedName name="BHCA_v711" localSheetId="5">#REF!</definedName>
    <definedName name="BHCA_v711" localSheetId="2">#REF!</definedName>
    <definedName name="BHCA_v711" localSheetId="3">#REF!</definedName>
    <definedName name="BHCA_v711" localSheetId="4">#REF!</definedName>
    <definedName name="BHCA_v711" localSheetId="0">#REF!</definedName>
    <definedName name="BHCA_v711" localSheetId="8">#REF!</definedName>
    <definedName name="BHCA_v711">#REF!</definedName>
    <definedName name="BHCA_v721" localSheetId="1">#REF!</definedName>
    <definedName name="BHCA_v721" localSheetId="5">#REF!</definedName>
    <definedName name="BHCA_v721" localSheetId="2">#REF!</definedName>
    <definedName name="BHCA_v721" localSheetId="3">#REF!</definedName>
    <definedName name="BHCA_v721" localSheetId="4">#REF!</definedName>
    <definedName name="BHCA_v721" localSheetId="0">#REF!</definedName>
    <definedName name="BHCA_v721" localSheetId="8">#REF!</definedName>
    <definedName name="BHCA_v721">#REF!</definedName>
    <definedName name="BHCA_v751" localSheetId="1">#REF!</definedName>
    <definedName name="BHCA_v751" localSheetId="5">#REF!</definedName>
    <definedName name="BHCA_v751" localSheetId="2">#REF!</definedName>
    <definedName name="BHCA_v751" localSheetId="3">#REF!</definedName>
    <definedName name="BHCA_v751" localSheetId="4">#REF!</definedName>
    <definedName name="BHCA_v751" localSheetId="0">#REF!</definedName>
    <definedName name="BHCA_v751" localSheetId="8">#REF!</definedName>
    <definedName name="BHCA_v751">#REF!</definedName>
    <definedName name="BHCA_v901" localSheetId="1">'Bandwidth Calculator'!$B$16</definedName>
    <definedName name="BHCA_v901" localSheetId="5">#REF!</definedName>
    <definedName name="BHCA_v901" localSheetId="2">'Finesse BW'!$B$14</definedName>
    <definedName name="BHCA_v901" localSheetId="3">#REF!</definedName>
    <definedName name="BHCA_v901" localSheetId="4">#REF!</definedName>
    <definedName name="BHCA_v901" localSheetId="0">#REF!</definedName>
    <definedName name="BHCA_v901" localSheetId="8">#REF!</definedName>
    <definedName name="BHCA_v901">#REF!</definedName>
    <definedName name="Bytes_Per_Call_Variable_Value" localSheetId="3">'Finesse BW Data'!$D$49</definedName>
    <definedName name="Bytes_Per_Call_Variable_Value">#REF!</definedName>
    <definedName name="Calls_Per_Second" localSheetId="1">'Bandwidth Calculator'!#REF!</definedName>
    <definedName name="Calls_Per_Second" localSheetId="2">'Finesse BW'!$B$17</definedName>
    <definedName name="Calls_Per_Second_v5x" localSheetId="1">#REF!</definedName>
    <definedName name="Calls_Per_Second_v5x" localSheetId="5">#REF!</definedName>
    <definedName name="Calls_Per_Second_v5x" localSheetId="2">#REF!</definedName>
    <definedName name="Calls_Per_Second_v5x" localSheetId="3">#REF!</definedName>
    <definedName name="Calls_Per_Second_v5x" localSheetId="4">#REF!</definedName>
    <definedName name="Calls_Per_Second_v5x" localSheetId="0">#REF!</definedName>
    <definedName name="Calls_Per_Second_v5x" localSheetId="8">#REF!</definedName>
    <definedName name="Calls_Per_Second_v5x">#REF!</definedName>
    <definedName name="Calls_Per_Second_v60" localSheetId="1">#REF!</definedName>
    <definedName name="Calls_Per_Second_v60" localSheetId="5">#REF!</definedName>
    <definedName name="Calls_Per_Second_v60" localSheetId="2">#REF!</definedName>
    <definedName name="Calls_Per_Second_v60" localSheetId="3">#REF!</definedName>
    <definedName name="Calls_Per_Second_v60" localSheetId="4">#REF!</definedName>
    <definedName name="Calls_Per_Second_v60" localSheetId="0">#REF!</definedName>
    <definedName name="Calls_Per_Second_v60" localSheetId="8">#REF!</definedName>
    <definedName name="Calls_Per_Second_v60">#REF!</definedName>
    <definedName name="Calls_Per_Second_v70" localSheetId="1">#REF!</definedName>
    <definedName name="Calls_Per_Second_v70" localSheetId="5">#REF!</definedName>
    <definedName name="Calls_Per_Second_v70" localSheetId="2">#REF!</definedName>
    <definedName name="Calls_Per_Second_v70" localSheetId="3">#REF!</definedName>
    <definedName name="Calls_Per_Second_v70" localSheetId="4">#REF!</definedName>
    <definedName name="Calls_Per_Second_v70" localSheetId="0">#REF!</definedName>
    <definedName name="Calls_Per_Second_v70" localSheetId="8">#REF!</definedName>
    <definedName name="Calls_Per_Second_v70">#REF!</definedName>
    <definedName name="Calls_Per_Second_v711" localSheetId="1">#REF!</definedName>
    <definedName name="Calls_Per_Second_v711" localSheetId="5">#REF!</definedName>
    <definedName name="Calls_Per_Second_v711" localSheetId="2">#REF!</definedName>
    <definedName name="Calls_Per_Second_v711" localSheetId="3">#REF!</definedName>
    <definedName name="Calls_Per_Second_v711" localSheetId="4">#REF!</definedName>
    <definedName name="Calls_Per_Second_v711" localSheetId="0">#REF!</definedName>
    <definedName name="Calls_Per_Second_v711" localSheetId="8">#REF!</definedName>
    <definedName name="Calls_Per_Second_v711">#REF!</definedName>
    <definedName name="Calls_Per_Second_v721" localSheetId="1">#REF!</definedName>
    <definedName name="Calls_Per_Second_v721" localSheetId="5">#REF!</definedName>
    <definedName name="Calls_Per_Second_v721" localSheetId="2">#REF!</definedName>
    <definedName name="Calls_Per_Second_v721" localSheetId="3">#REF!</definedName>
    <definedName name="Calls_Per_Second_v721" localSheetId="4">#REF!</definedName>
    <definedName name="Calls_Per_Second_v721" localSheetId="0">#REF!</definedName>
    <definedName name="Calls_Per_Second_v721" localSheetId="8">#REF!</definedName>
    <definedName name="Calls_Per_Second_v721">#REF!</definedName>
    <definedName name="Calls_Per_Second_v751" localSheetId="1">#REF!</definedName>
    <definedName name="Calls_Per_Second_v751" localSheetId="5">#REF!</definedName>
    <definedName name="Calls_Per_Second_v751" localSheetId="2">#REF!</definedName>
    <definedName name="Calls_Per_Second_v751" localSheetId="3">#REF!</definedName>
    <definedName name="Calls_Per_Second_v751" localSheetId="4">#REF!</definedName>
    <definedName name="Calls_Per_Second_v751" localSheetId="0">#REF!</definedName>
    <definedName name="Calls_Per_Second_v751" localSheetId="8">#REF!</definedName>
    <definedName name="Calls_Per_Second_v751">#REF!</definedName>
    <definedName name="Calls_Per_Second_v901" localSheetId="1">'Bandwidth Calculator'!#REF!</definedName>
    <definedName name="Calls_Per_Second_v901" localSheetId="5">#REF!</definedName>
    <definedName name="Calls_Per_Second_v901" localSheetId="2">'Finesse BW'!$B$17</definedName>
    <definedName name="Calls_Per_Second_v901" localSheetId="3">#REF!</definedName>
    <definedName name="Calls_Per_Second_v901" localSheetId="4">#REF!</definedName>
    <definedName name="Calls_Per_Second_v901" localSheetId="0">#REF!</definedName>
    <definedName name="Calls_Per_Second_v901" localSheetId="8">#REF!</definedName>
    <definedName name="Calls_Per_Second_v901">#REF!</definedName>
    <definedName name="kbps">8/1000</definedName>
    <definedName name="Max_Login_Time_All_Agents" localSheetId="1">'Bandwidth Calculator'!$B$13</definedName>
    <definedName name="Max_Login_Time_All_Agents" localSheetId="5">#REF!</definedName>
    <definedName name="Max_Login_Time_All_Agents" localSheetId="2">'Finesse BW'!$B$12</definedName>
    <definedName name="Max_Login_Time_All_Agents" localSheetId="3">#REF!</definedName>
    <definedName name="Max_Login_Time_All_Agents" localSheetId="4">#REF!</definedName>
    <definedName name="Max_Login_Time_All_Agents" localSheetId="0">#REF!</definedName>
    <definedName name="Max_Login_Time_All_Agents" localSheetId="8">#REF!</definedName>
    <definedName name="Max_Login_Time_All_Agents">#REF!</definedName>
    <definedName name="Max_Login_Time_All_Users" localSheetId="1">'Bandwidth Calculator'!$B$13</definedName>
    <definedName name="Max_Login_Time_All_Users" localSheetId="5">#REF!</definedName>
    <definedName name="Max_Login_Time_All_Users" localSheetId="2">'Finesse BW'!$B$12</definedName>
    <definedName name="Max_Login_Time_All_Users" localSheetId="3">#REF!</definedName>
    <definedName name="Max_Login_Time_All_Users" localSheetId="4">#REF!</definedName>
    <definedName name="Max_Login_Time_All_Users" localSheetId="0">#REF!</definedName>
    <definedName name="Max_Login_Time_All_Users" localSheetId="8">#REF!</definedName>
    <definedName name="Max_Login_Time_All_Users">#REF!</definedName>
    <definedName name="Maximum_Login_Time_for_all_users" localSheetId="1">'Bandwidth Calculator'!$B$13</definedName>
    <definedName name="Maximum_Login_Time_for_all_users" localSheetId="2">'Finesse BW'!$B$12</definedName>
    <definedName name="Number_of_Agent_Statistics_v5x" localSheetId="1">#REF!</definedName>
    <definedName name="Number_of_Agent_Statistics_v5x" localSheetId="5">#REF!</definedName>
    <definedName name="Number_of_Agent_Statistics_v5x" localSheetId="2">#REF!</definedName>
    <definedName name="Number_of_Agent_Statistics_v5x" localSheetId="3">#REF!</definedName>
    <definedName name="Number_of_Agent_Statistics_v5x" localSheetId="4">#REF!</definedName>
    <definedName name="Number_of_Agent_Statistics_v5x" localSheetId="0">#REF!</definedName>
    <definedName name="Number_of_Agent_Statistics_v5x" localSheetId="8">#REF!</definedName>
    <definedName name="Number_of_Agent_Statistics_v5x">#REF!</definedName>
    <definedName name="Number_of_Agent_Statistics_v60" localSheetId="1">#REF!</definedName>
    <definedName name="Number_of_Agent_Statistics_v60" localSheetId="5">#REF!</definedName>
    <definedName name="Number_of_Agent_Statistics_v60" localSheetId="2">#REF!</definedName>
    <definedName name="Number_of_Agent_Statistics_v60" localSheetId="3">#REF!</definedName>
    <definedName name="Number_of_Agent_Statistics_v60" localSheetId="4">#REF!</definedName>
    <definedName name="Number_of_Agent_Statistics_v60" localSheetId="0">#REF!</definedName>
    <definedName name="Number_of_Agent_Statistics_v60" localSheetId="8">#REF!</definedName>
    <definedName name="Number_of_Agent_Statistics_v60">#REF!</definedName>
    <definedName name="Number_of_Agent_Statistics_v70" localSheetId="1">#REF!</definedName>
    <definedName name="Number_of_Agent_Statistics_v70" localSheetId="5">#REF!</definedName>
    <definedName name="Number_of_Agent_Statistics_v70" localSheetId="2">#REF!</definedName>
    <definedName name="Number_of_Agent_Statistics_v70" localSheetId="3">#REF!</definedName>
    <definedName name="Number_of_Agent_Statistics_v70" localSheetId="4">#REF!</definedName>
    <definedName name="Number_of_Agent_Statistics_v70" localSheetId="0">#REF!</definedName>
    <definedName name="Number_of_Agent_Statistics_v70" localSheetId="8">#REF!</definedName>
    <definedName name="Number_of_Agent_Statistics_v70">#REF!</definedName>
    <definedName name="Number_of_Agent_Statistics_v711" localSheetId="1">#REF!</definedName>
    <definedName name="Number_of_Agent_Statistics_v711" localSheetId="5">#REF!</definedName>
    <definedName name="Number_of_Agent_Statistics_v711" localSheetId="2">#REF!</definedName>
    <definedName name="Number_of_Agent_Statistics_v711" localSheetId="3">#REF!</definedName>
    <definedName name="Number_of_Agent_Statistics_v711" localSheetId="4">#REF!</definedName>
    <definedName name="Number_of_Agent_Statistics_v711" localSheetId="0">#REF!</definedName>
    <definedName name="Number_of_Agent_Statistics_v711" localSheetId="8">#REF!</definedName>
    <definedName name="Number_of_Agent_Statistics_v711">#REF!</definedName>
    <definedName name="Number_of_Agent_Statistics_v721" localSheetId="1">#REF!</definedName>
    <definedName name="Number_of_Agent_Statistics_v721" localSheetId="5">#REF!</definedName>
    <definedName name="Number_of_Agent_Statistics_v721" localSheetId="2">#REF!</definedName>
    <definedName name="Number_of_Agent_Statistics_v721" localSheetId="3">#REF!</definedName>
    <definedName name="Number_of_Agent_Statistics_v721" localSheetId="4">#REF!</definedName>
    <definedName name="Number_of_Agent_Statistics_v721" localSheetId="0">#REF!</definedName>
    <definedName name="Number_of_Agent_Statistics_v721" localSheetId="8">#REF!</definedName>
    <definedName name="Number_of_Agent_Statistics_v721">#REF!</definedName>
    <definedName name="Number_of_Agent_Statistics_v751" localSheetId="1">#REF!</definedName>
    <definedName name="Number_of_Agent_Statistics_v751" localSheetId="5">#REF!</definedName>
    <definedName name="Number_of_Agent_Statistics_v751" localSheetId="2">#REF!</definedName>
    <definedName name="Number_of_Agent_Statistics_v751" localSheetId="3">#REF!</definedName>
    <definedName name="Number_of_Agent_Statistics_v751" localSheetId="4">#REF!</definedName>
    <definedName name="Number_of_Agent_Statistics_v751" localSheetId="0">#REF!</definedName>
    <definedName name="Number_of_Agent_Statistics_v751" localSheetId="8">#REF!</definedName>
    <definedName name="Number_of_Agent_Statistics_v751">#REF!</definedName>
    <definedName name="Number_of_Agent_Statistics_v801" localSheetId="1">'Bandwidth Calculator'!$B$37</definedName>
    <definedName name="Number_of_Agent_Statistics_v801" localSheetId="5">#REF!</definedName>
    <definedName name="Number_of_Agent_Statistics_v801" localSheetId="2">'Finesse BW'!$B$37</definedName>
    <definedName name="Number_of_Agent_Statistics_v801" localSheetId="3">#REF!</definedName>
    <definedName name="Number_of_Agent_Statistics_v801" localSheetId="4">#REF!</definedName>
    <definedName name="Number_of_Agent_Statistics_v801" localSheetId="0">#REF!</definedName>
    <definedName name="Number_of_Agent_Statistics_v801" localSheetId="8">#REF!</definedName>
    <definedName name="Number_of_Agent_Statistics_v801">#REF!</definedName>
    <definedName name="Number_of_Agents" localSheetId="1">'Bandwidth Calculator'!$B$10</definedName>
    <definedName name="Number_of_Agents" localSheetId="2">'Finesse BW'!$B$9</definedName>
    <definedName name="Number_of_All_Agents_Monitors_v5x" localSheetId="1">#REF!</definedName>
    <definedName name="Number_of_All_Agents_Monitors_v5x" localSheetId="5">#REF!</definedName>
    <definedName name="Number_of_All_Agents_Monitors_v5x" localSheetId="2">#REF!</definedName>
    <definedName name="Number_of_All_Agents_Monitors_v5x" localSheetId="3">#REF!</definedName>
    <definedName name="Number_of_All_Agents_Monitors_v5x" localSheetId="4">#REF!</definedName>
    <definedName name="Number_of_All_Agents_Monitors_v5x" localSheetId="0">#REF!</definedName>
    <definedName name="Number_of_All_Agents_Monitors_v5x" localSheetId="8">#REF!</definedName>
    <definedName name="Number_of_All_Agents_Monitors_v5x">#REF!</definedName>
    <definedName name="Number_of_All_Agents_Monitors_v60" localSheetId="1">#REF!</definedName>
    <definedName name="Number_of_All_Agents_Monitors_v60" localSheetId="5">#REF!</definedName>
    <definedName name="Number_of_All_Agents_Monitors_v60" localSheetId="2">#REF!</definedName>
    <definedName name="Number_of_All_Agents_Monitors_v60" localSheetId="3">#REF!</definedName>
    <definedName name="Number_of_All_Agents_Monitors_v60" localSheetId="4">#REF!</definedName>
    <definedName name="Number_of_All_Agents_Monitors_v60" localSheetId="0">#REF!</definedName>
    <definedName name="Number_of_All_Agents_Monitors_v60" localSheetId="8">#REF!</definedName>
    <definedName name="Number_of_All_Agents_Monitors_v60">#REF!</definedName>
    <definedName name="Number_of_All_Agents_Monitors_v70" localSheetId="1">#REF!</definedName>
    <definedName name="Number_of_All_Agents_Monitors_v70" localSheetId="5">#REF!</definedName>
    <definedName name="Number_of_All_Agents_Monitors_v70" localSheetId="2">#REF!</definedName>
    <definedName name="Number_of_All_Agents_Monitors_v70" localSheetId="3">#REF!</definedName>
    <definedName name="Number_of_All_Agents_Monitors_v70" localSheetId="4">#REF!</definedName>
    <definedName name="Number_of_All_Agents_Monitors_v70" localSheetId="0">#REF!</definedName>
    <definedName name="Number_of_All_Agents_Monitors_v70" localSheetId="8">#REF!</definedName>
    <definedName name="Number_of_All_Agents_Monitors_v70">#REF!</definedName>
    <definedName name="Number_of_All_Agents_Monitors_v711" localSheetId="1">#REF!</definedName>
    <definedName name="Number_of_All_Agents_Monitors_v711" localSheetId="5">#REF!</definedName>
    <definedName name="Number_of_All_Agents_Monitors_v711" localSheetId="2">#REF!</definedName>
    <definedName name="Number_of_All_Agents_Monitors_v711" localSheetId="3">#REF!</definedName>
    <definedName name="Number_of_All_Agents_Monitors_v711" localSheetId="4">#REF!</definedName>
    <definedName name="Number_of_All_Agents_Monitors_v711" localSheetId="0">#REF!</definedName>
    <definedName name="Number_of_All_Agents_Monitors_v711" localSheetId="8">#REF!</definedName>
    <definedName name="Number_of_All_Agents_Monitors_v711">#REF!</definedName>
    <definedName name="Number_of_All_Agents_Monitors_v721" localSheetId="1">#REF!</definedName>
    <definedName name="Number_of_All_Agents_Monitors_v721" localSheetId="5">#REF!</definedName>
    <definedName name="Number_of_All_Agents_Monitors_v721" localSheetId="2">#REF!</definedName>
    <definedName name="Number_of_All_Agents_Monitors_v721" localSheetId="3">#REF!</definedName>
    <definedName name="Number_of_All_Agents_Monitors_v721" localSheetId="4">#REF!</definedName>
    <definedName name="Number_of_All_Agents_Monitors_v721" localSheetId="0">#REF!</definedName>
    <definedName name="Number_of_All_Agents_Monitors_v721" localSheetId="8">#REF!</definedName>
    <definedName name="Number_of_All_Agents_Monitors_v721">#REF!</definedName>
    <definedName name="Number_of_All_Agents_Monitors_v751" localSheetId="1">#REF!</definedName>
    <definedName name="Number_of_All_Agents_Monitors_v751" localSheetId="5">#REF!</definedName>
    <definedName name="Number_of_All_Agents_Monitors_v751" localSheetId="2">#REF!</definedName>
    <definedName name="Number_of_All_Agents_Monitors_v751" localSheetId="3">#REF!</definedName>
    <definedName name="Number_of_All_Agents_Monitors_v751" localSheetId="4">#REF!</definedName>
    <definedName name="Number_of_All_Agents_Monitors_v751" localSheetId="0">#REF!</definedName>
    <definedName name="Number_of_All_Agents_Monitors_v751" localSheetId="8">#REF!</definedName>
    <definedName name="Number_of_All_Agents_Monitors_v751">#REF!</definedName>
    <definedName name="Number_of_All_Agents_Monitors_v801" localSheetId="1">'Bandwidth Calculator'!$B$12</definedName>
    <definedName name="Number_of_All_Agents_Monitors_v801" localSheetId="5">#REF!</definedName>
    <definedName name="Number_of_All_Agents_Monitors_v801" localSheetId="2">'Finesse BW'!$B$11</definedName>
    <definedName name="Number_of_All_Agents_Monitors_v801" localSheetId="3">#REF!</definedName>
    <definedName name="Number_of_All_Agents_Monitors_v801" localSheetId="4">#REF!</definedName>
    <definedName name="Number_of_All_Agents_Monitors_v801" localSheetId="0">#REF!</definedName>
    <definedName name="Number_of_All_Agents_Monitors_v801" localSheetId="8">#REF!</definedName>
    <definedName name="Number_of_All_Agents_Monitors_v801">#REF!</definedName>
    <definedName name="Number_of_Call_Variables" localSheetId="3">'Finesse BW Data'!$B$48</definedName>
    <definedName name="Number_of_Call_Variables">#REF!</definedName>
    <definedName name="Number_of_Call_Variables_v5x" localSheetId="1">#REF!</definedName>
    <definedName name="Number_of_Call_Variables_v5x" localSheetId="5">#REF!</definedName>
    <definedName name="Number_of_Call_Variables_v5x" localSheetId="2">#REF!</definedName>
    <definedName name="Number_of_Call_Variables_v5x" localSheetId="3">#REF!</definedName>
    <definedName name="Number_of_Call_Variables_v5x" localSheetId="4">#REF!</definedName>
    <definedName name="Number_of_Call_Variables_v5x" localSheetId="0">#REF!</definedName>
    <definedName name="Number_of_Call_Variables_v5x" localSheetId="8">#REF!</definedName>
    <definedName name="Number_of_Call_Variables_v5x">#REF!</definedName>
    <definedName name="Number_of_Call_Variables_v60" localSheetId="1">#REF!</definedName>
    <definedName name="Number_of_Call_Variables_v60" localSheetId="5">#REF!</definedName>
    <definedName name="Number_of_Call_Variables_v60" localSheetId="2">#REF!</definedName>
    <definedName name="Number_of_Call_Variables_v60" localSheetId="3">#REF!</definedName>
    <definedName name="Number_of_Call_Variables_v60" localSheetId="4">#REF!</definedName>
    <definedName name="Number_of_Call_Variables_v60" localSheetId="0">#REF!</definedName>
    <definedName name="Number_of_Call_Variables_v60" localSheetId="8">#REF!</definedName>
    <definedName name="Number_of_Call_Variables_v60">#REF!</definedName>
    <definedName name="Number_of_Call_Variables_v70" localSheetId="1">#REF!</definedName>
    <definedName name="Number_of_Call_Variables_v70" localSheetId="5">#REF!</definedName>
    <definedName name="Number_of_Call_Variables_v70" localSheetId="2">#REF!</definedName>
    <definedName name="Number_of_Call_Variables_v70" localSheetId="3">#REF!</definedName>
    <definedName name="Number_of_Call_Variables_v70" localSheetId="4">#REF!</definedName>
    <definedName name="Number_of_Call_Variables_v70" localSheetId="0">#REF!</definedName>
    <definedName name="Number_of_Call_Variables_v70" localSheetId="8">#REF!</definedName>
    <definedName name="Number_of_Call_Variables_v70">#REF!</definedName>
    <definedName name="Number_of_Call_Variables_v711" localSheetId="1">#REF!</definedName>
    <definedName name="Number_of_Call_Variables_v711" localSheetId="5">#REF!</definedName>
    <definedName name="Number_of_Call_Variables_v711" localSheetId="2">#REF!</definedName>
    <definedName name="Number_of_Call_Variables_v711" localSheetId="3">#REF!</definedName>
    <definedName name="Number_of_Call_Variables_v711" localSheetId="4">#REF!</definedName>
    <definedName name="Number_of_Call_Variables_v711" localSheetId="0">#REF!</definedName>
    <definedName name="Number_of_Call_Variables_v711" localSheetId="8">#REF!</definedName>
    <definedName name="Number_of_Call_Variables_v711">#REF!</definedName>
    <definedName name="Number_of_Call_Variables_v721" localSheetId="1">#REF!</definedName>
    <definedName name="Number_of_Call_Variables_v721" localSheetId="5">#REF!</definedName>
    <definedName name="Number_of_Call_Variables_v721" localSheetId="2">#REF!</definedName>
    <definedName name="Number_of_Call_Variables_v721" localSheetId="3">#REF!</definedName>
    <definedName name="Number_of_Call_Variables_v721" localSheetId="4">#REF!</definedName>
    <definedName name="Number_of_Call_Variables_v721" localSheetId="0">#REF!</definedName>
    <definedName name="Number_of_Call_Variables_v721" localSheetId="8">#REF!</definedName>
    <definedName name="Number_of_Call_Variables_v721">#REF!</definedName>
    <definedName name="Number_of_Call_Variables_v751" localSheetId="1">#REF!</definedName>
    <definedName name="Number_of_Call_Variables_v751" localSheetId="5">#REF!</definedName>
    <definedName name="Number_of_Call_Variables_v751" localSheetId="2">#REF!</definedName>
    <definedName name="Number_of_Call_Variables_v751" localSheetId="3">#REF!</definedName>
    <definedName name="Number_of_Call_Variables_v751" localSheetId="4">#REF!</definedName>
    <definedName name="Number_of_Call_Variables_v751" localSheetId="0">#REF!</definedName>
    <definedName name="Number_of_Call_Variables_v751" localSheetId="8">#REF!</definedName>
    <definedName name="Number_of_Call_Variables_v751">#REF!</definedName>
    <definedName name="Number_of_Call_Variables_v901" localSheetId="1">'Bandwidth Calculator'!#REF!</definedName>
    <definedName name="Number_of_Call_Variables_v901" localSheetId="5">#REF!</definedName>
    <definedName name="Number_of_Call_Variables_v901" localSheetId="2">'Finesse BW'!#REF!</definedName>
    <definedName name="Number_of_Call_Variables_v901" localSheetId="3">#REF!</definedName>
    <definedName name="Number_of_Call_Variables_v901" localSheetId="4">#REF!</definedName>
    <definedName name="Number_of_Call_Variables_v901" localSheetId="0">#REF!</definedName>
    <definedName name="Number_of_Call_Variables_v901" localSheetId="8">#REF!</definedName>
    <definedName name="Number_of_Call_Variables_v901">#REF!</definedName>
    <definedName name="Number_of_Call_Variables_v91" localSheetId="3">'Finesse BW Data'!$D$48</definedName>
    <definedName name="Number_of_Call_Variables_v91">#REF!</definedName>
    <definedName name="Number_of_Configured_Call_variables" localSheetId="1">'Bandwidth Calculator'!$B$45</definedName>
    <definedName name="Number_of_Configured_Call_variables" localSheetId="5">'[1]Finesse 11.6'!$B$45</definedName>
    <definedName name="Number_of_Configured_Call_variables" localSheetId="2">'Finesse BW'!$B$45</definedName>
    <definedName name="Number_of_Configured_Call_variables" localSheetId="3">'[2]Finesse 12.5'!$B$45</definedName>
    <definedName name="Number_of_Configured_Call_variables">#REF!</definedName>
    <definedName name="Number_of_Configured_ECC_variables" localSheetId="1">'Bandwidth Calculator'!$B$41</definedName>
    <definedName name="Number_of_Configured_ECC_variables" localSheetId="2">'Finesse BW'!$B$41</definedName>
    <definedName name="Number_of_Configured_ECC_variables_v5x" localSheetId="1">#REF!</definedName>
    <definedName name="Number_of_Configured_ECC_variables_v5x" localSheetId="5">#REF!</definedName>
    <definedName name="Number_of_Configured_ECC_variables_v5x" localSheetId="2">#REF!</definedName>
    <definedName name="Number_of_Configured_ECC_variables_v5x" localSheetId="3">#REF!</definedName>
    <definedName name="Number_of_Configured_ECC_variables_v5x" localSheetId="4">#REF!</definedName>
    <definedName name="Number_of_Configured_ECC_variables_v5x" localSheetId="0">#REF!</definedName>
    <definedName name="Number_of_Configured_ECC_variables_v5x" localSheetId="8">#REF!</definedName>
    <definedName name="Number_of_Configured_ECC_variables_v5x">#REF!</definedName>
    <definedName name="Number_of_Configured_ECC_variables_v60" localSheetId="1">#REF!</definedName>
    <definedName name="Number_of_Configured_ECC_variables_v60" localSheetId="5">#REF!</definedName>
    <definedName name="Number_of_Configured_ECC_variables_v60" localSheetId="2">#REF!</definedName>
    <definedName name="Number_of_Configured_ECC_variables_v60" localSheetId="3">#REF!</definedName>
    <definedName name="Number_of_Configured_ECC_variables_v60" localSheetId="4">#REF!</definedName>
    <definedName name="Number_of_Configured_ECC_variables_v60" localSheetId="0">#REF!</definedName>
    <definedName name="Number_of_Configured_ECC_variables_v60" localSheetId="8">#REF!</definedName>
    <definedName name="Number_of_Configured_ECC_variables_v60">#REF!</definedName>
    <definedName name="Number_of_Configured_ECC_variables_v70" localSheetId="1">#REF!</definedName>
    <definedName name="Number_of_Configured_ECC_variables_v70" localSheetId="5">#REF!</definedName>
    <definedName name="Number_of_Configured_ECC_variables_v70" localSheetId="2">#REF!</definedName>
    <definedName name="Number_of_Configured_ECC_variables_v70" localSheetId="3">#REF!</definedName>
    <definedName name="Number_of_Configured_ECC_variables_v70" localSheetId="4">#REF!</definedName>
    <definedName name="Number_of_Configured_ECC_variables_v70" localSheetId="0">#REF!</definedName>
    <definedName name="Number_of_Configured_ECC_variables_v70" localSheetId="8">#REF!</definedName>
    <definedName name="Number_of_Configured_ECC_variables_v70">#REF!</definedName>
    <definedName name="Number_of_Configured_ECC_variables_v711" localSheetId="1">#REF!</definedName>
    <definedName name="Number_of_Configured_ECC_variables_v711" localSheetId="5">#REF!</definedName>
    <definedName name="Number_of_Configured_ECC_variables_v711" localSheetId="2">#REF!</definedName>
    <definedName name="Number_of_Configured_ECC_variables_v711" localSheetId="3">#REF!</definedName>
    <definedName name="Number_of_Configured_ECC_variables_v711" localSheetId="4">#REF!</definedName>
    <definedName name="Number_of_Configured_ECC_variables_v711" localSheetId="0">#REF!</definedName>
    <definedName name="Number_of_Configured_ECC_variables_v711" localSheetId="8">#REF!</definedName>
    <definedName name="Number_of_Configured_ECC_variables_v711">#REF!</definedName>
    <definedName name="Number_of_Configured_ECC_variables_v721" localSheetId="1">#REF!</definedName>
    <definedName name="Number_of_Configured_ECC_variables_v721" localSheetId="5">#REF!</definedName>
    <definedName name="Number_of_Configured_ECC_variables_v721" localSheetId="2">#REF!</definedName>
    <definedName name="Number_of_Configured_ECC_variables_v721" localSheetId="3">#REF!</definedName>
    <definedName name="Number_of_Configured_ECC_variables_v721" localSheetId="4">#REF!</definedName>
    <definedName name="Number_of_Configured_ECC_variables_v721" localSheetId="0">#REF!</definedName>
    <definedName name="Number_of_Configured_ECC_variables_v721" localSheetId="8">#REF!</definedName>
    <definedName name="Number_of_Configured_ECC_variables_v721">#REF!</definedName>
    <definedName name="Number_of_Configured_ECC_variables_v751" localSheetId="1">#REF!</definedName>
    <definedName name="Number_of_Configured_ECC_variables_v751" localSheetId="5">#REF!</definedName>
    <definedName name="Number_of_Configured_ECC_variables_v751" localSheetId="2">#REF!</definedName>
    <definedName name="Number_of_Configured_ECC_variables_v751" localSheetId="3">#REF!</definedName>
    <definedName name="Number_of_Configured_ECC_variables_v751" localSheetId="4">#REF!</definedName>
    <definedName name="Number_of_Configured_ECC_variables_v751" localSheetId="0">#REF!</definedName>
    <definedName name="Number_of_Configured_ECC_variables_v751" localSheetId="8">#REF!</definedName>
    <definedName name="Number_of_Configured_ECC_variables_v751">#REF!</definedName>
    <definedName name="Number_of_Configured_ECC_variables_v901" localSheetId="1">'Bandwidth Calculator'!$B$41</definedName>
    <definedName name="Number_of_Configured_ECC_variables_v901" localSheetId="5">#REF!</definedName>
    <definedName name="Number_of_Configured_ECC_variables_v901" localSheetId="2">'Finesse BW'!$B$41</definedName>
    <definedName name="Number_of_Configured_ECC_variables_v901" localSheetId="3">#REF!</definedName>
    <definedName name="Number_of_Configured_ECC_variables_v901" localSheetId="4">#REF!</definedName>
    <definedName name="Number_of_Configured_ECC_variables_v901" localSheetId="0">#REF!</definedName>
    <definedName name="Number_of_Configured_ECC_variables_v901" localSheetId="8">#REF!</definedName>
    <definedName name="Number_of_Configured_ECC_variables_v901">#REF!</definedName>
    <definedName name="Number_of_Skill_Group_Statistics_v5x" localSheetId="1">#REF!</definedName>
    <definedName name="Number_of_Skill_Group_Statistics_v5x" localSheetId="5">#REF!</definedName>
    <definedName name="Number_of_Skill_Group_Statistics_v5x" localSheetId="2">#REF!</definedName>
    <definedName name="Number_of_Skill_Group_Statistics_v5x" localSheetId="3">#REF!</definedName>
    <definedName name="Number_of_Skill_Group_Statistics_v5x" localSheetId="4">#REF!</definedName>
    <definedName name="Number_of_Skill_Group_Statistics_v5x" localSheetId="0">#REF!</definedName>
    <definedName name="Number_of_Skill_Group_Statistics_v5x" localSheetId="8">#REF!</definedName>
    <definedName name="Number_of_Skill_Group_Statistics_v5x">#REF!</definedName>
    <definedName name="Number_of_Skill_Group_Statistics_v60" localSheetId="1">#REF!</definedName>
    <definedName name="Number_of_Skill_Group_Statistics_v60" localSheetId="5">#REF!</definedName>
    <definedName name="Number_of_Skill_Group_Statistics_v60" localSheetId="2">#REF!</definedName>
    <definedName name="Number_of_Skill_Group_Statistics_v60" localSheetId="3">#REF!</definedName>
    <definedName name="Number_of_Skill_Group_Statistics_v60" localSheetId="4">#REF!</definedName>
    <definedName name="Number_of_Skill_Group_Statistics_v60" localSheetId="0">#REF!</definedName>
    <definedName name="Number_of_Skill_Group_Statistics_v60" localSheetId="8">#REF!</definedName>
    <definedName name="Number_of_Skill_Group_Statistics_v60">#REF!</definedName>
    <definedName name="Number_of_Skill_Group_Statistics_v70" localSheetId="1">#REF!</definedName>
    <definedName name="Number_of_Skill_Group_Statistics_v70" localSheetId="5">#REF!</definedName>
    <definedName name="Number_of_Skill_Group_Statistics_v70" localSheetId="2">#REF!</definedName>
    <definedName name="Number_of_Skill_Group_Statistics_v70" localSheetId="3">#REF!</definedName>
    <definedName name="Number_of_Skill_Group_Statistics_v70" localSheetId="4">#REF!</definedName>
    <definedName name="Number_of_Skill_Group_Statistics_v70" localSheetId="0">#REF!</definedName>
    <definedName name="Number_of_Skill_Group_Statistics_v70" localSheetId="8">#REF!</definedName>
    <definedName name="Number_of_Skill_Group_Statistics_v70">#REF!</definedName>
    <definedName name="Number_of_Skill_Group_Statistics_v711" localSheetId="1">#REF!</definedName>
    <definedName name="Number_of_Skill_Group_Statistics_v711" localSheetId="5">#REF!</definedName>
    <definedName name="Number_of_Skill_Group_Statistics_v711" localSheetId="2">#REF!</definedName>
    <definedName name="Number_of_Skill_Group_Statistics_v711" localSheetId="3">#REF!</definedName>
    <definedName name="Number_of_Skill_Group_Statistics_v711" localSheetId="4">#REF!</definedName>
    <definedName name="Number_of_Skill_Group_Statistics_v711" localSheetId="0">#REF!</definedName>
    <definedName name="Number_of_Skill_Group_Statistics_v711" localSheetId="8">#REF!</definedName>
    <definedName name="Number_of_Skill_Group_Statistics_v711">#REF!</definedName>
    <definedName name="Number_of_Skill_Group_Statistics_v721" localSheetId="1">#REF!</definedName>
    <definedName name="Number_of_Skill_Group_Statistics_v721" localSheetId="5">#REF!</definedName>
    <definedName name="Number_of_Skill_Group_Statistics_v721" localSheetId="2">#REF!</definedName>
    <definedName name="Number_of_Skill_Group_Statistics_v721" localSheetId="3">#REF!</definedName>
    <definedName name="Number_of_Skill_Group_Statistics_v721" localSheetId="4">#REF!</definedName>
    <definedName name="Number_of_Skill_Group_Statistics_v721" localSheetId="0">#REF!</definedName>
    <definedName name="Number_of_Skill_Group_Statistics_v721" localSheetId="8">#REF!</definedName>
    <definedName name="Number_of_Skill_Group_Statistics_v721">#REF!</definedName>
    <definedName name="Number_of_Skill_Group_Statistics_v751" localSheetId="1">#REF!</definedName>
    <definedName name="Number_of_Skill_Group_Statistics_v751" localSheetId="5">#REF!</definedName>
    <definedName name="Number_of_Skill_Group_Statistics_v751" localSheetId="2">#REF!</definedName>
    <definedName name="Number_of_Skill_Group_Statistics_v751" localSheetId="3">#REF!</definedName>
    <definedName name="Number_of_Skill_Group_Statistics_v751" localSheetId="4">#REF!</definedName>
    <definedName name="Number_of_Skill_Group_Statistics_v751" localSheetId="0">#REF!</definedName>
    <definedName name="Number_of_Skill_Group_Statistics_v751" localSheetId="8">#REF!</definedName>
    <definedName name="Number_of_Skill_Group_Statistics_v751">#REF!</definedName>
    <definedName name="Number_of_Skill_Group_Statistics_v801" localSheetId="1">'Bandwidth Calculator'!$B$34</definedName>
    <definedName name="Number_of_Skill_Group_Statistics_v801" localSheetId="5">#REF!</definedName>
    <definedName name="Number_of_Skill_Group_Statistics_v801" localSheetId="2">'Finesse BW'!$B$34</definedName>
    <definedName name="Number_of_Skill_Group_Statistics_v801" localSheetId="3">#REF!</definedName>
    <definedName name="Number_of_Skill_Group_Statistics_v801" localSheetId="4">#REF!</definedName>
    <definedName name="Number_of_Skill_Group_Statistics_v801" localSheetId="0">#REF!</definedName>
    <definedName name="Number_of_Skill_Group_Statistics_v801" localSheetId="8">#REF!</definedName>
    <definedName name="Number_of_Skill_Group_Statistics_v801">#REF!</definedName>
    <definedName name="Number_of_Skill_Groups_per_Agent_v5x" localSheetId="1">#REF!</definedName>
    <definedName name="Number_of_Skill_Groups_per_Agent_v5x" localSheetId="5">#REF!</definedName>
    <definedName name="Number_of_Skill_Groups_per_Agent_v5x" localSheetId="2">#REF!</definedName>
    <definedName name="Number_of_Skill_Groups_per_Agent_v5x" localSheetId="3">#REF!</definedName>
    <definedName name="Number_of_Skill_Groups_per_Agent_v5x" localSheetId="4">#REF!</definedName>
    <definedName name="Number_of_Skill_Groups_per_Agent_v5x" localSheetId="0">#REF!</definedName>
    <definedName name="Number_of_Skill_Groups_per_Agent_v5x" localSheetId="8">#REF!</definedName>
    <definedName name="Number_of_Skill_Groups_per_Agent_v5x">#REF!</definedName>
    <definedName name="Number_of_Skill_Groups_per_Agent_v60" localSheetId="1">#REF!</definedName>
    <definedName name="Number_of_Skill_Groups_per_Agent_v60" localSheetId="5">#REF!</definedName>
    <definedName name="Number_of_Skill_Groups_per_Agent_v60" localSheetId="2">#REF!</definedName>
    <definedName name="Number_of_Skill_Groups_per_Agent_v60" localSheetId="3">#REF!</definedName>
    <definedName name="Number_of_Skill_Groups_per_Agent_v60" localSheetId="4">#REF!</definedName>
    <definedName name="Number_of_Skill_Groups_per_Agent_v60" localSheetId="0">#REF!</definedName>
    <definedName name="Number_of_Skill_Groups_per_Agent_v60" localSheetId="8">#REF!</definedName>
    <definedName name="Number_of_Skill_Groups_per_Agent_v60">#REF!</definedName>
    <definedName name="Number_of_Skill_Groups_per_Agent_v70" localSheetId="1">#REF!</definedName>
    <definedName name="Number_of_Skill_Groups_per_Agent_v70" localSheetId="5">#REF!</definedName>
    <definedName name="Number_of_Skill_Groups_per_Agent_v70" localSheetId="2">#REF!</definedName>
    <definedName name="Number_of_Skill_Groups_per_Agent_v70" localSheetId="3">#REF!</definedName>
    <definedName name="Number_of_Skill_Groups_per_Agent_v70" localSheetId="4">#REF!</definedName>
    <definedName name="Number_of_Skill_Groups_per_Agent_v70" localSheetId="0">#REF!</definedName>
    <definedName name="Number_of_Skill_Groups_per_Agent_v70" localSheetId="8">#REF!</definedName>
    <definedName name="Number_of_Skill_Groups_per_Agent_v70">#REF!</definedName>
    <definedName name="Number_of_Skill_Groups_per_Agent_v711" localSheetId="1">#REF!</definedName>
    <definedName name="Number_of_Skill_Groups_per_Agent_v711" localSheetId="5">#REF!</definedName>
    <definedName name="Number_of_Skill_Groups_per_Agent_v711" localSheetId="2">#REF!</definedName>
    <definedName name="Number_of_Skill_Groups_per_Agent_v711" localSheetId="3">#REF!</definedName>
    <definedName name="Number_of_Skill_Groups_per_Agent_v711" localSheetId="4">#REF!</definedName>
    <definedName name="Number_of_Skill_Groups_per_Agent_v711" localSheetId="0">#REF!</definedName>
    <definedName name="Number_of_Skill_Groups_per_Agent_v711" localSheetId="8">#REF!</definedName>
    <definedName name="Number_of_Skill_Groups_per_Agent_v711">#REF!</definedName>
    <definedName name="Number_of_Skill_Groups_per_Agent_v721" localSheetId="1">#REF!</definedName>
    <definedName name="Number_of_Skill_Groups_per_Agent_v721" localSheetId="5">#REF!</definedName>
    <definedName name="Number_of_Skill_Groups_per_Agent_v721" localSheetId="2">#REF!</definedName>
    <definedName name="Number_of_Skill_Groups_per_Agent_v721" localSheetId="3">#REF!</definedName>
    <definedName name="Number_of_Skill_Groups_per_Agent_v721" localSheetId="4">#REF!</definedName>
    <definedName name="Number_of_Skill_Groups_per_Agent_v721" localSheetId="0">#REF!</definedName>
    <definedName name="Number_of_Skill_Groups_per_Agent_v721" localSheetId="8">#REF!</definedName>
    <definedName name="Number_of_Skill_Groups_per_Agent_v721">#REF!</definedName>
    <definedName name="Number_of_Skill_Groups_per_Agent_v751" localSheetId="1">#REF!</definedName>
    <definedName name="Number_of_Skill_Groups_per_Agent_v751" localSheetId="5">#REF!</definedName>
    <definedName name="Number_of_Skill_Groups_per_Agent_v751" localSheetId="2">#REF!</definedName>
    <definedName name="Number_of_Skill_Groups_per_Agent_v751" localSheetId="3">#REF!</definedName>
    <definedName name="Number_of_Skill_Groups_per_Agent_v751" localSheetId="4">#REF!</definedName>
    <definedName name="Number_of_Skill_Groups_per_Agent_v751" localSheetId="0">#REF!</definedName>
    <definedName name="Number_of_Skill_Groups_per_Agent_v751" localSheetId="8">#REF!</definedName>
    <definedName name="Number_of_Skill_Groups_per_Agent_v751">#REF!</definedName>
    <definedName name="Number_of_Skill_Groups_per_Agent_v801" localSheetId="1">'Bandwidth Calculator'!$B$30</definedName>
    <definedName name="Number_of_Skill_Groups_per_Agent_v801" localSheetId="5">#REF!</definedName>
    <definedName name="Number_of_Skill_Groups_per_Agent_v801" localSheetId="2">'Finesse BW'!$B$30</definedName>
    <definedName name="Number_of_Skill_Groups_per_Agent_v801" localSheetId="3">#REF!</definedName>
    <definedName name="Number_of_Skill_Groups_per_Agent_v801" localSheetId="4">#REF!</definedName>
    <definedName name="Number_of_Skill_Groups_per_Agent_v801" localSheetId="0">#REF!</definedName>
    <definedName name="Number_of_Skill_Groups_per_Agent_v801" localSheetId="8">#REF!</definedName>
    <definedName name="Number_of_Skill_Groups_per_Agent_v801">#REF!</definedName>
    <definedName name="Number_of_Skill_Groups_per_Supervisor_v5x" localSheetId="1">#REF!</definedName>
    <definedName name="Number_of_Skill_Groups_per_Supervisor_v5x" localSheetId="5">#REF!</definedName>
    <definedName name="Number_of_Skill_Groups_per_Supervisor_v5x" localSheetId="2">#REF!</definedName>
    <definedName name="Number_of_Skill_Groups_per_Supervisor_v5x" localSheetId="3">#REF!</definedName>
    <definedName name="Number_of_Skill_Groups_per_Supervisor_v5x" localSheetId="4">#REF!</definedName>
    <definedName name="Number_of_Skill_Groups_per_Supervisor_v5x" localSheetId="0">#REF!</definedName>
    <definedName name="Number_of_Skill_Groups_per_Supervisor_v5x" localSheetId="8">#REF!</definedName>
    <definedName name="Number_of_Skill_Groups_per_Supervisor_v5x">#REF!</definedName>
    <definedName name="Number_of_Skill_Groups_per_Supervisor_v60" localSheetId="1">#REF!</definedName>
    <definedName name="Number_of_Skill_Groups_per_Supervisor_v60" localSheetId="5">#REF!</definedName>
    <definedName name="Number_of_Skill_Groups_per_Supervisor_v60" localSheetId="2">#REF!</definedName>
    <definedName name="Number_of_Skill_Groups_per_Supervisor_v60" localSheetId="3">#REF!</definedName>
    <definedName name="Number_of_Skill_Groups_per_Supervisor_v60" localSheetId="4">#REF!</definedName>
    <definedName name="Number_of_Skill_Groups_per_Supervisor_v60" localSheetId="0">#REF!</definedName>
    <definedName name="Number_of_Skill_Groups_per_Supervisor_v60" localSheetId="8">#REF!</definedName>
    <definedName name="Number_of_Skill_Groups_per_Supervisor_v60">#REF!</definedName>
    <definedName name="Number_of_Skill_Groups_per_Supervisor_v70" localSheetId="1">#REF!</definedName>
    <definedName name="Number_of_Skill_Groups_per_Supervisor_v70" localSheetId="5">#REF!</definedName>
    <definedName name="Number_of_Skill_Groups_per_Supervisor_v70" localSheetId="2">#REF!</definedName>
    <definedName name="Number_of_Skill_Groups_per_Supervisor_v70" localSheetId="3">#REF!</definedName>
    <definedName name="Number_of_Skill_Groups_per_Supervisor_v70" localSheetId="4">#REF!</definedName>
    <definedName name="Number_of_Skill_Groups_per_Supervisor_v70" localSheetId="0">#REF!</definedName>
    <definedName name="Number_of_Skill_Groups_per_Supervisor_v70" localSheetId="8">#REF!</definedName>
    <definedName name="Number_of_Skill_Groups_per_Supervisor_v70">#REF!</definedName>
    <definedName name="Number_of_Skill_Groups_per_Supervisor_v711" localSheetId="1">#REF!</definedName>
    <definedName name="Number_of_Skill_Groups_per_Supervisor_v711" localSheetId="5">#REF!</definedName>
    <definedName name="Number_of_Skill_Groups_per_Supervisor_v711" localSheetId="2">#REF!</definedName>
    <definedName name="Number_of_Skill_Groups_per_Supervisor_v711" localSheetId="3">#REF!</definedName>
    <definedName name="Number_of_Skill_Groups_per_Supervisor_v711" localSheetId="4">#REF!</definedName>
    <definedName name="Number_of_Skill_Groups_per_Supervisor_v711" localSheetId="0">#REF!</definedName>
    <definedName name="Number_of_Skill_Groups_per_Supervisor_v711" localSheetId="8">#REF!</definedName>
    <definedName name="Number_of_Skill_Groups_per_Supervisor_v711">#REF!</definedName>
    <definedName name="Number_of_Skill_Groups_per_Supervisor_v721" localSheetId="1">#REF!</definedName>
    <definedName name="Number_of_Skill_Groups_per_Supervisor_v721" localSheetId="5">#REF!</definedName>
    <definedName name="Number_of_Skill_Groups_per_Supervisor_v721" localSheetId="2">#REF!</definedName>
    <definedName name="Number_of_Skill_Groups_per_Supervisor_v721" localSheetId="3">#REF!</definedName>
    <definedName name="Number_of_Skill_Groups_per_Supervisor_v721" localSheetId="4">#REF!</definedName>
    <definedName name="Number_of_Skill_Groups_per_Supervisor_v721" localSheetId="0">#REF!</definedName>
    <definedName name="Number_of_Skill_Groups_per_Supervisor_v721" localSheetId="8">#REF!</definedName>
    <definedName name="Number_of_Skill_Groups_per_Supervisor_v721">#REF!</definedName>
    <definedName name="Number_of_Skill_Groups_per_Supervisor_v751" localSheetId="1">#REF!</definedName>
    <definedName name="Number_of_Skill_Groups_per_Supervisor_v751" localSheetId="5">#REF!</definedName>
    <definedName name="Number_of_Skill_Groups_per_Supervisor_v751" localSheetId="2">#REF!</definedName>
    <definedName name="Number_of_Skill_Groups_per_Supervisor_v751" localSheetId="3">#REF!</definedName>
    <definedName name="Number_of_Skill_Groups_per_Supervisor_v751" localSheetId="4">#REF!</definedName>
    <definedName name="Number_of_Skill_Groups_per_Supervisor_v751" localSheetId="0">#REF!</definedName>
    <definedName name="Number_of_Skill_Groups_per_Supervisor_v751" localSheetId="8">#REF!</definedName>
    <definedName name="Number_of_Skill_Groups_per_Supervisor_v751">#REF!</definedName>
    <definedName name="Number_of_Skill_Groups_per_Supervisor_v901" localSheetId="1">'Bandwidth Calculator'!$B$32</definedName>
    <definedName name="Number_of_Skill_Groups_per_Supervisor_v901" localSheetId="5">#REF!</definedName>
    <definedName name="Number_of_Skill_Groups_per_Supervisor_v901" localSheetId="2">'Finesse BW'!$B$32</definedName>
    <definedName name="Number_of_Skill_Groups_per_Supervisor_v901" localSheetId="3">#REF!</definedName>
    <definedName name="Number_of_Skill_Groups_per_Supervisor_v901" localSheetId="4">#REF!</definedName>
    <definedName name="Number_of_Skill_Groups_per_Supervisor_v901" localSheetId="0">#REF!</definedName>
    <definedName name="Number_of_Skill_Groups_per_Supervisor_v901" localSheetId="8">#REF!</definedName>
    <definedName name="Number_of_Skill_Groups_per_Supervisor_v901">#REF!</definedName>
    <definedName name="Number_of_Skill_Groups_PG" localSheetId="1">'Bandwidth Calculator'!$B$39</definedName>
    <definedName name="Number_of_Skill_Groups_PG" localSheetId="2">'Finesse BW'!$B$39</definedName>
    <definedName name="Number_of_Skill_Groups_PG">#REF!</definedName>
    <definedName name="Number_of_Supervisors" localSheetId="1">'Bandwidth Calculator'!$B$11</definedName>
    <definedName name="Number_of_Supervisors" localSheetId="2">'Finesse BW'!$B$10</definedName>
    <definedName name="Number_of_Supervisors_v10" localSheetId="1">'Bandwidth Calculator'!$B$11</definedName>
    <definedName name="Number_of_Supervisors_v10" localSheetId="2">'Finesse BW'!$B$10</definedName>
    <definedName name="Number_of_Supervisors_v10">#REF!</definedName>
    <definedName name="Number_of_Supervisors_v5x" localSheetId="1">#REF!</definedName>
    <definedName name="Number_of_Supervisors_v5x" localSheetId="5">#REF!</definedName>
    <definedName name="Number_of_Supervisors_v5x" localSheetId="2">#REF!</definedName>
    <definedName name="Number_of_Supervisors_v5x" localSheetId="3">#REF!</definedName>
    <definedName name="Number_of_Supervisors_v5x" localSheetId="4">#REF!</definedName>
    <definedName name="Number_of_Supervisors_v5x" localSheetId="0">#REF!</definedName>
    <definedName name="Number_of_Supervisors_v5x" localSheetId="8">#REF!</definedName>
    <definedName name="Number_of_Supervisors_v5x">#REF!</definedName>
    <definedName name="Number_of_Supervisors_v60" localSheetId="1">#REF!</definedName>
    <definedName name="Number_of_Supervisors_v60" localSheetId="5">#REF!</definedName>
    <definedName name="Number_of_Supervisors_v60" localSheetId="2">#REF!</definedName>
    <definedName name="Number_of_Supervisors_v60" localSheetId="3">#REF!</definedName>
    <definedName name="Number_of_Supervisors_v60" localSheetId="4">#REF!</definedName>
    <definedName name="Number_of_Supervisors_v60" localSheetId="0">#REF!</definedName>
    <definedName name="Number_of_Supervisors_v60" localSheetId="8">#REF!</definedName>
    <definedName name="Number_of_Supervisors_v60">#REF!</definedName>
    <definedName name="Number_of_Supervisors_v70" localSheetId="1">#REF!</definedName>
    <definedName name="Number_of_Supervisors_v70" localSheetId="5">#REF!</definedName>
    <definedName name="Number_of_Supervisors_v70" localSheetId="2">#REF!</definedName>
    <definedName name="Number_of_Supervisors_v70" localSheetId="3">#REF!</definedName>
    <definedName name="Number_of_Supervisors_v70" localSheetId="4">#REF!</definedName>
    <definedName name="Number_of_Supervisors_v70" localSheetId="0">#REF!</definedName>
    <definedName name="Number_of_Supervisors_v70" localSheetId="8">#REF!</definedName>
    <definedName name="Number_of_Supervisors_v70">#REF!</definedName>
    <definedName name="Number_of_Supervisors_v711" localSheetId="1">#REF!</definedName>
    <definedName name="Number_of_Supervisors_v711" localSheetId="5">#REF!</definedName>
    <definedName name="Number_of_Supervisors_v711" localSheetId="2">#REF!</definedName>
    <definedName name="Number_of_Supervisors_v711" localSheetId="3">#REF!</definedName>
    <definedName name="Number_of_Supervisors_v711" localSheetId="4">#REF!</definedName>
    <definedName name="Number_of_Supervisors_v711" localSheetId="0">#REF!</definedName>
    <definedName name="Number_of_Supervisors_v711" localSheetId="8">#REF!</definedName>
    <definedName name="Number_of_Supervisors_v711">#REF!</definedName>
    <definedName name="Number_of_Supervisors_v721" localSheetId="1">#REF!</definedName>
    <definedName name="Number_of_Supervisors_v721" localSheetId="5">#REF!</definedName>
    <definedName name="Number_of_Supervisors_v721" localSheetId="2">#REF!</definedName>
    <definedName name="Number_of_Supervisors_v721" localSheetId="3">#REF!</definedName>
    <definedName name="Number_of_Supervisors_v721" localSheetId="4">#REF!</definedName>
    <definedName name="Number_of_Supervisors_v721" localSheetId="0">#REF!</definedName>
    <definedName name="Number_of_Supervisors_v721" localSheetId="8">#REF!</definedName>
    <definedName name="Number_of_Supervisors_v721">#REF!</definedName>
    <definedName name="Number_of_Supervisors_v751" localSheetId="1">#REF!</definedName>
    <definedName name="Number_of_Supervisors_v751" localSheetId="5">#REF!</definedName>
    <definedName name="Number_of_Supervisors_v751" localSheetId="2">#REF!</definedName>
    <definedName name="Number_of_Supervisors_v751" localSheetId="3">#REF!</definedName>
    <definedName name="Number_of_Supervisors_v751" localSheetId="4">#REF!</definedName>
    <definedName name="Number_of_Supervisors_v751" localSheetId="0">#REF!</definedName>
    <definedName name="Number_of_Supervisors_v751" localSheetId="8">#REF!</definedName>
    <definedName name="Number_of_Supervisors_v751">#REF!</definedName>
    <definedName name="Number_of_Supervisors_v901" localSheetId="1">'Bandwidth Calculator'!$B$11</definedName>
    <definedName name="Number_of_Supervisors_v901" localSheetId="5">#REF!</definedName>
    <definedName name="Number_of_Supervisors_v901" localSheetId="2">'Finesse BW'!$B$10</definedName>
    <definedName name="Number_of_Supervisors_v901" localSheetId="3">#REF!</definedName>
    <definedName name="Number_of_Supervisors_v901" localSheetId="4">#REF!</definedName>
    <definedName name="Number_of_Supervisors_v901" localSheetId="0">#REF!</definedName>
    <definedName name="Number_of_Supervisors_v901" localSheetId="8">#REF!</definedName>
    <definedName name="Number_of_Supervisors_v901">#REF!</definedName>
    <definedName name="Percentage_Calls_Silently_Monitored" localSheetId="1">'Bandwidth Calculator'!$B$26</definedName>
    <definedName name="Percentage_Calls_Silently_Monitored" localSheetId="5">#REF!</definedName>
    <definedName name="Percentage_Calls_Silently_Monitored" localSheetId="2">'Finesse BW'!$B$26</definedName>
    <definedName name="Percentage_Calls_Silently_Monitored" localSheetId="3">#REF!</definedName>
    <definedName name="Percentage_Calls_Silently_Monitored" localSheetId="4">#REF!</definedName>
    <definedName name="Percentage_Calls_Silently_Monitored" localSheetId="0">#REF!</definedName>
    <definedName name="Percentage_Calls_Silently_Monitored" localSheetId="8">#REF!</definedName>
    <definedName name="Percentage_Calls_Silently_Monitored">#REF!</definedName>
    <definedName name="Percentage_of_BargedCalls" localSheetId="1">'Bandwidth Calculator'!$B$27</definedName>
    <definedName name="Percentage_of_BargedCalls" localSheetId="5">'[1]Finesse 11.6'!$B$27</definedName>
    <definedName name="Percentage_of_BargedCalls" localSheetId="2">'Finesse BW'!$B$27</definedName>
    <definedName name="Percentage_of_BargedCalls" localSheetId="3">'[2]Finesse 12.5'!$B$27</definedName>
    <definedName name="Percentage_of_BargedCalls">#REF!</definedName>
    <definedName name="Percentage_of_Calls_that_are_silently_monitored" localSheetId="1">'Bandwidth Calculator'!$B$26</definedName>
    <definedName name="Percentage_of_Calls_that_are_silently_monitored" localSheetId="2">'Finesse BW'!$B$26</definedName>
    <definedName name="Percentage_of_Consultative_Conference_Calls" localSheetId="1">'Bandwidth Calculator'!$B$24</definedName>
    <definedName name="Percentage_of_Consultative_Conference_Calls" localSheetId="2">'Finesse BW'!$B$24</definedName>
    <definedName name="Percentage_of_Consultative_Conference_Calls_v5x" localSheetId="1">#REF!</definedName>
    <definedName name="Percentage_of_Consultative_Conference_Calls_v5x" localSheetId="5">#REF!</definedName>
    <definedName name="Percentage_of_Consultative_Conference_Calls_v5x" localSheetId="2">#REF!</definedName>
    <definedName name="Percentage_of_Consultative_Conference_Calls_v5x" localSheetId="3">#REF!</definedName>
    <definedName name="Percentage_of_Consultative_Conference_Calls_v5x" localSheetId="4">#REF!</definedName>
    <definedName name="Percentage_of_Consultative_Conference_Calls_v5x" localSheetId="0">#REF!</definedName>
    <definedName name="Percentage_of_Consultative_Conference_Calls_v5x" localSheetId="8">#REF!</definedName>
    <definedName name="Percentage_of_Consultative_Conference_Calls_v5x">#REF!</definedName>
    <definedName name="Percentage_of_Consultative_Conference_Calls_v60" localSheetId="1">#REF!</definedName>
    <definedName name="Percentage_of_Consultative_Conference_Calls_v60" localSheetId="5">#REF!</definedName>
    <definedName name="Percentage_of_Consultative_Conference_Calls_v60" localSheetId="2">#REF!</definedName>
    <definedName name="Percentage_of_Consultative_Conference_Calls_v60" localSheetId="3">#REF!</definedName>
    <definedName name="Percentage_of_Consultative_Conference_Calls_v60" localSheetId="4">#REF!</definedName>
    <definedName name="Percentage_of_Consultative_Conference_Calls_v60" localSheetId="0">#REF!</definedName>
    <definedName name="Percentage_of_Consultative_Conference_Calls_v60" localSheetId="8">#REF!</definedName>
    <definedName name="Percentage_of_Consultative_Conference_Calls_v60">#REF!</definedName>
    <definedName name="Percentage_of_Consultative_Conference_Calls_v70" localSheetId="1">#REF!</definedName>
    <definedName name="Percentage_of_Consultative_Conference_Calls_v70" localSheetId="5">#REF!</definedName>
    <definedName name="Percentage_of_Consultative_Conference_Calls_v70" localSheetId="2">#REF!</definedName>
    <definedName name="Percentage_of_Consultative_Conference_Calls_v70" localSheetId="3">#REF!</definedName>
    <definedName name="Percentage_of_Consultative_Conference_Calls_v70" localSheetId="4">#REF!</definedName>
    <definedName name="Percentage_of_Consultative_Conference_Calls_v70" localSheetId="0">#REF!</definedName>
    <definedName name="Percentage_of_Consultative_Conference_Calls_v70" localSheetId="8">#REF!</definedName>
    <definedName name="Percentage_of_Consultative_Conference_Calls_v70">#REF!</definedName>
    <definedName name="Percentage_of_Consultative_Conference_Calls_v711" localSheetId="1">#REF!</definedName>
    <definedName name="Percentage_of_Consultative_Conference_Calls_v711" localSheetId="5">#REF!</definedName>
    <definedName name="Percentage_of_Consultative_Conference_Calls_v711" localSheetId="2">#REF!</definedName>
    <definedName name="Percentage_of_Consultative_Conference_Calls_v711" localSheetId="3">#REF!</definedName>
    <definedName name="Percentage_of_Consultative_Conference_Calls_v711" localSheetId="4">#REF!</definedName>
    <definedName name="Percentage_of_Consultative_Conference_Calls_v711" localSheetId="0">#REF!</definedName>
    <definedName name="Percentage_of_Consultative_Conference_Calls_v711" localSheetId="8">#REF!</definedName>
    <definedName name="Percentage_of_Consultative_Conference_Calls_v711">#REF!</definedName>
    <definedName name="Percentage_of_Consultative_Conference_Calls_v721" localSheetId="1">#REF!</definedName>
    <definedName name="Percentage_of_Consultative_Conference_Calls_v721" localSheetId="5">#REF!</definedName>
    <definedName name="Percentage_of_Consultative_Conference_Calls_v721" localSheetId="2">#REF!</definedName>
    <definedName name="Percentage_of_Consultative_Conference_Calls_v721" localSheetId="3">#REF!</definedName>
    <definedName name="Percentage_of_Consultative_Conference_Calls_v721" localSheetId="4">#REF!</definedName>
    <definedName name="Percentage_of_Consultative_Conference_Calls_v721" localSheetId="0">#REF!</definedName>
    <definedName name="Percentage_of_Consultative_Conference_Calls_v721" localSheetId="8">#REF!</definedName>
    <definedName name="Percentage_of_Consultative_Conference_Calls_v721">#REF!</definedName>
    <definedName name="Percentage_of_Consultative_Conference_Calls_v751" localSheetId="1">#REF!</definedName>
    <definedName name="Percentage_of_Consultative_Conference_Calls_v751" localSheetId="5">#REF!</definedName>
    <definedName name="Percentage_of_Consultative_Conference_Calls_v751" localSheetId="2">#REF!</definedName>
    <definedName name="Percentage_of_Consultative_Conference_Calls_v751" localSheetId="3">#REF!</definedName>
    <definedName name="Percentage_of_Consultative_Conference_Calls_v751" localSheetId="4">#REF!</definedName>
    <definedName name="Percentage_of_Consultative_Conference_Calls_v751" localSheetId="0">#REF!</definedName>
    <definedName name="Percentage_of_Consultative_Conference_Calls_v751" localSheetId="8">#REF!</definedName>
    <definedName name="Percentage_of_Consultative_Conference_Calls_v751">#REF!</definedName>
    <definedName name="Percentage_of_Consultative_Conference_Calls_v901" localSheetId="1">'Bandwidth Calculator'!$B$24</definedName>
    <definedName name="Percentage_of_Consultative_Conference_Calls_v901" localSheetId="5">#REF!</definedName>
    <definedName name="Percentage_of_Consultative_Conference_Calls_v901" localSheetId="2">'Finesse BW'!$B$24</definedName>
    <definedName name="Percentage_of_Consultative_Conference_Calls_v901" localSheetId="3">#REF!</definedName>
    <definedName name="Percentage_of_Consultative_Conference_Calls_v901" localSheetId="4">#REF!</definedName>
    <definedName name="Percentage_of_Consultative_Conference_Calls_v901" localSheetId="0">#REF!</definedName>
    <definedName name="Percentage_of_Consultative_Conference_Calls_v901" localSheetId="8">#REF!</definedName>
    <definedName name="Percentage_of_Consultative_Conference_Calls_v901">#REF!</definedName>
    <definedName name="Percentage_of_Consultative_Transfer_Calls" localSheetId="1">'Bandwidth Calculator'!$B$22</definedName>
    <definedName name="Percentage_of_Consultative_Transfer_Calls" localSheetId="2">'Finesse BW'!$B$22</definedName>
    <definedName name="Percentage_of_Consultative_Transfer_Calls_v5x" localSheetId="1">#REF!</definedName>
    <definedName name="Percentage_of_Consultative_Transfer_Calls_v5x" localSheetId="5">#REF!</definedName>
    <definedName name="Percentage_of_Consultative_Transfer_Calls_v5x" localSheetId="2">#REF!</definedName>
    <definedName name="Percentage_of_Consultative_Transfer_Calls_v5x" localSheetId="3">#REF!</definedName>
    <definedName name="Percentage_of_Consultative_Transfer_Calls_v5x" localSheetId="4">#REF!</definedName>
    <definedName name="Percentage_of_Consultative_Transfer_Calls_v5x" localSheetId="0">#REF!</definedName>
    <definedName name="Percentage_of_Consultative_Transfer_Calls_v5x" localSheetId="8">#REF!</definedName>
    <definedName name="Percentage_of_Consultative_Transfer_Calls_v5x">#REF!</definedName>
    <definedName name="Percentage_of_Consultative_Transfer_Calls_v60" localSheetId="1">#REF!</definedName>
    <definedName name="Percentage_of_Consultative_Transfer_Calls_v60" localSheetId="5">#REF!</definedName>
    <definedName name="Percentage_of_Consultative_Transfer_Calls_v60" localSheetId="2">#REF!</definedName>
    <definedName name="Percentage_of_Consultative_Transfer_Calls_v60" localSheetId="3">#REF!</definedName>
    <definedName name="Percentage_of_Consultative_Transfer_Calls_v60" localSheetId="4">#REF!</definedName>
    <definedName name="Percentage_of_Consultative_Transfer_Calls_v60" localSheetId="0">#REF!</definedName>
    <definedName name="Percentage_of_Consultative_Transfer_Calls_v60" localSheetId="8">#REF!</definedName>
    <definedName name="Percentage_of_Consultative_Transfer_Calls_v60">#REF!</definedName>
    <definedName name="Percentage_of_Consultative_Transfer_Calls_v70" localSheetId="1">#REF!</definedName>
    <definedName name="Percentage_of_Consultative_Transfer_Calls_v70" localSheetId="5">#REF!</definedName>
    <definedName name="Percentage_of_Consultative_Transfer_Calls_v70" localSheetId="2">#REF!</definedName>
    <definedName name="Percentage_of_Consultative_Transfer_Calls_v70" localSheetId="3">#REF!</definedName>
    <definedName name="Percentage_of_Consultative_Transfer_Calls_v70" localSheetId="4">#REF!</definedName>
    <definedName name="Percentage_of_Consultative_Transfer_Calls_v70" localSheetId="0">#REF!</definedName>
    <definedName name="Percentage_of_Consultative_Transfer_Calls_v70" localSheetId="8">#REF!</definedName>
    <definedName name="Percentage_of_Consultative_Transfer_Calls_v70">#REF!</definedName>
    <definedName name="Percentage_of_Consultative_Transfer_Calls_v711" localSheetId="1">#REF!</definedName>
    <definedName name="Percentage_of_Consultative_Transfer_Calls_v711" localSheetId="5">#REF!</definedName>
    <definedName name="Percentage_of_Consultative_Transfer_Calls_v711" localSheetId="2">#REF!</definedName>
    <definedName name="Percentage_of_Consultative_Transfer_Calls_v711" localSheetId="3">#REF!</definedName>
    <definedName name="Percentage_of_Consultative_Transfer_Calls_v711" localSheetId="4">#REF!</definedName>
    <definedName name="Percentage_of_Consultative_Transfer_Calls_v711" localSheetId="0">#REF!</definedName>
    <definedName name="Percentage_of_Consultative_Transfer_Calls_v711" localSheetId="8">#REF!</definedName>
    <definedName name="Percentage_of_Consultative_Transfer_Calls_v711">#REF!</definedName>
    <definedName name="Percentage_of_Consultative_Transfer_Calls_v721" localSheetId="1">#REF!</definedName>
    <definedName name="Percentage_of_Consultative_Transfer_Calls_v721" localSheetId="5">#REF!</definedName>
    <definedName name="Percentage_of_Consultative_Transfer_Calls_v721" localSheetId="2">#REF!</definedName>
    <definedName name="Percentage_of_Consultative_Transfer_Calls_v721" localSheetId="3">#REF!</definedName>
    <definedName name="Percentage_of_Consultative_Transfer_Calls_v721" localSheetId="4">#REF!</definedName>
    <definedName name="Percentage_of_Consultative_Transfer_Calls_v721" localSheetId="0">#REF!</definedName>
    <definedName name="Percentage_of_Consultative_Transfer_Calls_v721" localSheetId="8">#REF!</definedName>
    <definedName name="Percentage_of_Consultative_Transfer_Calls_v721">#REF!</definedName>
    <definedName name="Percentage_of_Consultative_Transfer_Calls_v751" localSheetId="1">#REF!</definedName>
    <definedName name="Percentage_of_Consultative_Transfer_Calls_v751" localSheetId="5">#REF!</definedName>
    <definedName name="Percentage_of_Consultative_Transfer_Calls_v751" localSheetId="2">#REF!</definedName>
    <definedName name="Percentage_of_Consultative_Transfer_Calls_v751" localSheetId="3">#REF!</definedName>
    <definedName name="Percentage_of_Consultative_Transfer_Calls_v751" localSheetId="4">#REF!</definedName>
    <definedName name="Percentage_of_Consultative_Transfer_Calls_v751" localSheetId="0">#REF!</definedName>
    <definedName name="Percentage_of_Consultative_Transfer_Calls_v751" localSheetId="8">#REF!</definedName>
    <definedName name="Percentage_of_Consultative_Transfer_Calls_v751">#REF!</definedName>
    <definedName name="Percentage_of_Consultative_Transfer_Calls_v901" localSheetId="1">'Bandwidth Calculator'!$B$22</definedName>
    <definedName name="Percentage_of_Consultative_Transfer_Calls_v901" localSheetId="5">#REF!</definedName>
    <definedName name="Percentage_of_Consultative_Transfer_Calls_v901" localSheetId="2">'Finesse BW'!$B$22</definedName>
    <definedName name="Percentage_of_Consultative_Transfer_Calls_v901" localSheetId="3">#REF!</definedName>
    <definedName name="Percentage_of_Consultative_Transfer_Calls_v901" localSheetId="4">#REF!</definedName>
    <definedName name="Percentage_of_Consultative_Transfer_Calls_v901" localSheetId="0">#REF!</definedName>
    <definedName name="Percentage_of_Consultative_Transfer_Calls_v901" localSheetId="8">#REF!</definedName>
    <definedName name="Percentage_of_Consultative_Transfer_Calls_v901">#REF!</definedName>
    <definedName name="Percentage_of_Incoming_Straight_Calls" localSheetId="1">'Bandwidth Calculator'!$B$19</definedName>
    <definedName name="Percentage_of_Incoming_Straight_Calls" localSheetId="2">'Finesse BW'!$B$19</definedName>
    <definedName name="Percentage_of_Incoming_Straight_Calls_v5x" localSheetId="1">#REF!</definedName>
    <definedName name="Percentage_of_Incoming_Straight_Calls_v5x" localSheetId="5">#REF!</definedName>
    <definedName name="Percentage_of_Incoming_Straight_Calls_v5x" localSheetId="2">#REF!</definedName>
    <definedName name="Percentage_of_Incoming_Straight_Calls_v5x" localSheetId="3">#REF!</definedName>
    <definedName name="Percentage_of_Incoming_Straight_Calls_v5x" localSheetId="4">#REF!</definedName>
    <definedName name="Percentage_of_Incoming_Straight_Calls_v5x" localSheetId="0">#REF!</definedName>
    <definedName name="Percentage_of_Incoming_Straight_Calls_v5x" localSheetId="8">#REF!</definedName>
    <definedName name="Percentage_of_Incoming_Straight_Calls_v5x">#REF!</definedName>
    <definedName name="Percentage_of_Incoming_Straight_Calls_v60" localSheetId="1">#REF!</definedName>
    <definedName name="Percentage_of_Incoming_Straight_Calls_v60" localSheetId="5">#REF!</definedName>
    <definedName name="Percentage_of_Incoming_Straight_Calls_v60" localSheetId="2">#REF!</definedName>
    <definedName name="Percentage_of_Incoming_Straight_Calls_v60" localSheetId="3">#REF!</definedName>
    <definedName name="Percentage_of_Incoming_Straight_Calls_v60" localSheetId="4">#REF!</definedName>
    <definedName name="Percentage_of_Incoming_Straight_Calls_v60" localSheetId="0">#REF!</definedName>
    <definedName name="Percentage_of_Incoming_Straight_Calls_v60" localSheetId="8">#REF!</definedName>
    <definedName name="Percentage_of_Incoming_Straight_Calls_v60">#REF!</definedName>
    <definedName name="Percentage_of_Incoming_Straight_Calls_v70" localSheetId="1">#REF!</definedName>
    <definedName name="Percentage_of_Incoming_Straight_Calls_v70" localSheetId="5">#REF!</definedName>
    <definedName name="Percentage_of_Incoming_Straight_Calls_v70" localSheetId="2">#REF!</definedName>
    <definedName name="Percentage_of_Incoming_Straight_Calls_v70" localSheetId="3">#REF!</definedName>
    <definedName name="Percentage_of_Incoming_Straight_Calls_v70" localSheetId="4">#REF!</definedName>
    <definedName name="Percentage_of_Incoming_Straight_Calls_v70" localSheetId="0">#REF!</definedName>
    <definedName name="Percentage_of_Incoming_Straight_Calls_v70" localSheetId="8">#REF!</definedName>
    <definedName name="Percentage_of_Incoming_Straight_Calls_v70">#REF!</definedName>
    <definedName name="Percentage_of_Incoming_Straight_Calls_v711" localSheetId="1">#REF!</definedName>
    <definedName name="Percentage_of_Incoming_Straight_Calls_v711" localSheetId="5">#REF!</definedName>
    <definedName name="Percentage_of_Incoming_Straight_Calls_v711" localSheetId="2">#REF!</definedName>
    <definedName name="Percentage_of_Incoming_Straight_Calls_v711" localSheetId="3">#REF!</definedName>
    <definedName name="Percentage_of_Incoming_Straight_Calls_v711" localSheetId="4">#REF!</definedName>
    <definedName name="Percentage_of_Incoming_Straight_Calls_v711" localSheetId="0">#REF!</definedName>
    <definedName name="Percentage_of_Incoming_Straight_Calls_v711" localSheetId="8">#REF!</definedName>
    <definedName name="Percentage_of_Incoming_Straight_Calls_v711">#REF!</definedName>
    <definedName name="Percentage_of_Incoming_Straight_Calls_v721" localSheetId="1">#REF!</definedName>
    <definedName name="Percentage_of_Incoming_Straight_Calls_v721" localSheetId="5">#REF!</definedName>
    <definedName name="Percentage_of_Incoming_Straight_Calls_v721" localSheetId="2">#REF!</definedName>
    <definedName name="Percentage_of_Incoming_Straight_Calls_v721" localSheetId="3">#REF!</definedName>
    <definedName name="Percentage_of_Incoming_Straight_Calls_v721" localSheetId="4">#REF!</definedName>
    <definedName name="Percentage_of_Incoming_Straight_Calls_v721" localSheetId="0">#REF!</definedName>
    <definedName name="Percentage_of_Incoming_Straight_Calls_v721" localSheetId="8">#REF!</definedName>
    <definedName name="Percentage_of_Incoming_Straight_Calls_v721">#REF!</definedName>
    <definedName name="Percentage_of_Incoming_Straight_Calls_v751" localSheetId="1">#REF!</definedName>
    <definedName name="Percentage_of_Incoming_Straight_Calls_v751" localSheetId="5">#REF!</definedName>
    <definedName name="Percentage_of_Incoming_Straight_Calls_v751" localSheetId="2">#REF!</definedName>
    <definedName name="Percentage_of_Incoming_Straight_Calls_v751" localSheetId="3">#REF!</definedName>
    <definedName name="Percentage_of_Incoming_Straight_Calls_v751" localSheetId="4">#REF!</definedName>
    <definedName name="Percentage_of_Incoming_Straight_Calls_v751" localSheetId="0">#REF!</definedName>
    <definedName name="Percentage_of_Incoming_Straight_Calls_v751" localSheetId="8">#REF!</definedName>
    <definedName name="Percentage_of_Incoming_Straight_Calls_v751">#REF!</definedName>
    <definedName name="Percentage_of_Incoming_Straight_Calls_v901" localSheetId="1">'Bandwidth Calculator'!$B$19</definedName>
    <definedName name="Percentage_of_Incoming_Straight_Calls_v901" localSheetId="5">#REF!</definedName>
    <definedName name="Percentage_of_Incoming_Straight_Calls_v901" localSheetId="2">'Finesse BW'!$B$19</definedName>
    <definedName name="Percentage_of_Incoming_Straight_Calls_v901" localSheetId="3">#REF!</definedName>
    <definedName name="Percentage_of_Incoming_Straight_Calls_v901" localSheetId="4">#REF!</definedName>
    <definedName name="Percentage_of_Incoming_Straight_Calls_v901" localSheetId="0">#REF!</definedName>
    <definedName name="Percentage_of_Incoming_Straight_Calls_v901" localSheetId="8">#REF!</definedName>
    <definedName name="Percentage_of_Incoming_Straight_Calls_v901">#REF!</definedName>
    <definedName name="Percentage_of_InterceptedCalls" localSheetId="1">'Bandwidth Calculator'!$B$28</definedName>
    <definedName name="Percentage_of_InterceptedCalls" localSheetId="5">'[1]Finesse 11.6'!$B$28</definedName>
    <definedName name="Percentage_of_InterceptedCalls" localSheetId="2">'Finesse BW'!$B$28</definedName>
    <definedName name="Percentage_of_InterceptedCalls" localSheetId="3">'[2]Finesse 12.5'!$B$28</definedName>
    <definedName name="Percentage_of_InterceptedCalls">#REF!</definedName>
    <definedName name="Percentage_of_Outgoing_Straight_Calls" localSheetId="1">'Bandwidth Calculator'!$B$20</definedName>
    <definedName name="Percentage_of_Outgoing_Straight_Calls" localSheetId="2">'Finesse BW'!$B$20</definedName>
    <definedName name="Percentage_of_Outgoing_Straight_Calls_v5x" localSheetId="1">#REF!</definedName>
    <definedName name="Percentage_of_Outgoing_Straight_Calls_v5x" localSheetId="5">#REF!</definedName>
    <definedName name="Percentage_of_Outgoing_Straight_Calls_v5x" localSheetId="2">#REF!</definedName>
    <definedName name="Percentage_of_Outgoing_Straight_Calls_v5x" localSheetId="3">#REF!</definedName>
    <definedName name="Percentage_of_Outgoing_Straight_Calls_v5x" localSheetId="4">#REF!</definedName>
    <definedName name="Percentage_of_Outgoing_Straight_Calls_v5x" localSheetId="0">#REF!</definedName>
    <definedName name="Percentage_of_Outgoing_Straight_Calls_v5x" localSheetId="8">#REF!</definedName>
    <definedName name="Percentage_of_Outgoing_Straight_Calls_v5x">#REF!</definedName>
    <definedName name="Percentage_of_Outgoing_Straight_Calls_v60" localSheetId="1">#REF!</definedName>
    <definedName name="Percentage_of_Outgoing_Straight_Calls_v60" localSheetId="5">#REF!</definedName>
    <definedName name="Percentage_of_Outgoing_Straight_Calls_v60" localSheetId="2">#REF!</definedName>
    <definedName name="Percentage_of_Outgoing_Straight_Calls_v60" localSheetId="3">#REF!</definedName>
    <definedName name="Percentage_of_Outgoing_Straight_Calls_v60" localSheetId="4">#REF!</definedName>
    <definedName name="Percentage_of_Outgoing_Straight_Calls_v60" localSheetId="0">#REF!</definedName>
    <definedName name="Percentage_of_Outgoing_Straight_Calls_v60" localSheetId="8">#REF!</definedName>
    <definedName name="Percentage_of_Outgoing_Straight_Calls_v60">#REF!</definedName>
    <definedName name="Percentage_of_Outgoing_Straight_Calls_v70" localSheetId="1">#REF!</definedName>
    <definedName name="Percentage_of_Outgoing_Straight_Calls_v70" localSheetId="5">#REF!</definedName>
    <definedName name="Percentage_of_Outgoing_Straight_Calls_v70" localSheetId="2">#REF!</definedName>
    <definedName name="Percentage_of_Outgoing_Straight_Calls_v70" localSheetId="3">#REF!</definedName>
    <definedName name="Percentage_of_Outgoing_Straight_Calls_v70" localSheetId="4">#REF!</definedName>
    <definedName name="Percentage_of_Outgoing_Straight_Calls_v70" localSheetId="0">#REF!</definedName>
    <definedName name="Percentage_of_Outgoing_Straight_Calls_v70" localSheetId="8">#REF!</definedName>
    <definedName name="Percentage_of_Outgoing_Straight_Calls_v70">#REF!</definedName>
    <definedName name="Percentage_of_Outgoing_Straight_Calls_v711" localSheetId="1">#REF!</definedName>
    <definedName name="Percentage_of_Outgoing_Straight_Calls_v711" localSheetId="5">#REF!</definedName>
    <definedName name="Percentage_of_Outgoing_Straight_Calls_v711" localSheetId="2">#REF!</definedName>
    <definedName name="Percentage_of_Outgoing_Straight_Calls_v711" localSheetId="3">#REF!</definedName>
    <definedName name="Percentage_of_Outgoing_Straight_Calls_v711" localSheetId="4">#REF!</definedName>
    <definedName name="Percentage_of_Outgoing_Straight_Calls_v711" localSheetId="0">#REF!</definedName>
    <definedName name="Percentage_of_Outgoing_Straight_Calls_v711" localSheetId="8">#REF!</definedName>
    <definedName name="Percentage_of_Outgoing_Straight_Calls_v711">#REF!</definedName>
    <definedName name="Percentage_of_Outgoing_Straight_Calls_v721" localSheetId="1">#REF!</definedName>
    <definedName name="Percentage_of_Outgoing_Straight_Calls_v721" localSheetId="5">#REF!</definedName>
    <definedName name="Percentage_of_Outgoing_Straight_Calls_v721" localSheetId="2">#REF!</definedName>
    <definedName name="Percentage_of_Outgoing_Straight_Calls_v721" localSheetId="3">#REF!</definedName>
    <definedName name="Percentage_of_Outgoing_Straight_Calls_v721" localSheetId="4">#REF!</definedName>
    <definedName name="Percentage_of_Outgoing_Straight_Calls_v721" localSheetId="0">#REF!</definedName>
    <definedName name="Percentage_of_Outgoing_Straight_Calls_v721" localSheetId="8">#REF!</definedName>
    <definedName name="Percentage_of_Outgoing_Straight_Calls_v721">#REF!</definedName>
    <definedName name="Percentage_of_Outgoing_Straight_Calls_v751" localSheetId="1">#REF!</definedName>
    <definedName name="Percentage_of_Outgoing_Straight_Calls_v751" localSheetId="5">#REF!</definedName>
    <definedName name="Percentage_of_Outgoing_Straight_Calls_v751" localSheetId="2">#REF!</definedName>
    <definedName name="Percentage_of_Outgoing_Straight_Calls_v751" localSheetId="3">#REF!</definedName>
    <definedName name="Percentage_of_Outgoing_Straight_Calls_v751" localSheetId="4">#REF!</definedName>
    <definedName name="Percentage_of_Outgoing_Straight_Calls_v751" localSheetId="0">#REF!</definedName>
    <definedName name="Percentage_of_Outgoing_Straight_Calls_v751" localSheetId="8">#REF!</definedName>
    <definedName name="Percentage_of_Outgoing_Straight_Calls_v751">#REF!</definedName>
    <definedName name="Percentage_of_Outgoing_Straight_Calls_v901" localSheetId="1">'Bandwidth Calculator'!$B$20</definedName>
    <definedName name="Percentage_of_Outgoing_Straight_Calls_v901" localSheetId="5">#REF!</definedName>
    <definedName name="Percentage_of_Outgoing_Straight_Calls_v901" localSheetId="2">'Finesse BW'!$B$20</definedName>
    <definedName name="Percentage_of_Outgoing_Straight_Calls_v901" localSheetId="3">#REF!</definedName>
    <definedName name="Percentage_of_Outgoing_Straight_Calls_v901" localSheetId="4">#REF!</definedName>
    <definedName name="Percentage_of_Outgoing_Straight_Calls_v901" localSheetId="0">#REF!</definedName>
    <definedName name="Percentage_of_Outgoing_Straight_Calls_v901" localSheetId="8">#REF!</definedName>
    <definedName name="Percentage_of_Outgoing_Straight_Calls_v901">#REF!</definedName>
    <definedName name="Percentage_of_Single_Step_Transfer_Calls_v5x" localSheetId="1">#REF!</definedName>
    <definedName name="Percentage_of_Single_Step_Transfer_Calls_v5x" localSheetId="5">#REF!</definedName>
    <definedName name="Percentage_of_Single_Step_Transfer_Calls_v5x" localSheetId="2">#REF!</definedName>
    <definedName name="Percentage_of_Single_Step_Transfer_Calls_v5x" localSheetId="3">#REF!</definedName>
    <definedName name="Percentage_of_Single_Step_Transfer_Calls_v5x" localSheetId="4">#REF!</definedName>
    <definedName name="Percentage_of_Single_Step_Transfer_Calls_v5x" localSheetId="0">#REF!</definedName>
    <definedName name="Percentage_of_Single_Step_Transfer_Calls_v5x" localSheetId="8">#REF!</definedName>
    <definedName name="Percentage_of_Single_Step_Transfer_Calls_v5x">#REF!</definedName>
    <definedName name="Percentage_of_Single_Step_Transfer_Calls_v60" localSheetId="1">#REF!</definedName>
    <definedName name="Percentage_of_Single_Step_Transfer_Calls_v60" localSheetId="5">#REF!</definedName>
    <definedName name="Percentage_of_Single_Step_Transfer_Calls_v60" localSheetId="2">#REF!</definedName>
    <definedName name="Percentage_of_Single_Step_Transfer_Calls_v60" localSheetId="3">#REF!</definedName>
    <definedName name="Percentage_of_Single_Step_Transfer_Calls_v60" localSheetId="4">#REF!</definedName>
    <definedName name="Percentage_of_Single_Step_Transfer_Calls_v60" localSheetId="0">#REF!</definedName>
    <definedName name="Percentage_of_Single_Step_Transfer_Calls_v60" localSheetId="8">#REF!</definedName>
    <definedName name="Percentage_of_Single_Step_Transfer_Calls_v60">#REF!</definedName>
    <definedName name="Percentage_of_Single_Step_Transfer_Calls_v70" localSheetId="1">#REF!</definedName>
    <definedName name="Percentage_of_Single_Step_Transfer_Calls_v70" localSheetId="5">#REF!</definedName>
    <definedName name="Percentage_of_Single_Step_Transfer_Calls_v70" localSheetId="2">#REF!</definedName>
    <definedName name="Percentage_of_Single_Step_Transfer_Calls_v70" localSheetId="3">#REF!</definedName>
    <definedName name="Percentage_of_Single_Step_Transfer_Calls_v70" localSheetId="4">#REF!</definedName>
    <definedName name="Percentage_of_Single_Step_Transfer_Calls_v70" localSheetId="0">#REF!</definedName>
    <definedName name="Percentage_of_Single_Step_Transfer_Calls_v70" localSheetId="8">#REF!</definedName>
    <definedName name="Percentage_of_Single_Step_Transfer_Calls_v70">#REF!</definedName>
    <definedName name="Percentage_of_Single_Step_Transfer_Calls_v711" localSheetId="1">#REF!</definedName>
    <definedName name="Percentage_of_Single_Step_Transfer_Calls_v711" localSheetId="5">#REF!</definedName>
    <definedName name="Percentage_of_Single_Step_Transfer_Calls_v711" localSheetId="2">#REF!</definedName>
    <definedName name="Percentage_of_Single_Step_Transfer_Calls_v711" localSheetId="3">#REF!</definedName>
    <definedName name="Percentage_of_Single_Step_Transfer_Calls_v711" localSheetId="4">#REF!</definedName>
    <definedName name="Percentage_of_Single_Step_Transfer_Calls_v711" localSheetId="0">#REF!</definedName>
    <definedName name="Percentage_of_Single_Step_Transfer_Calls_v711" localSheetId="8">#REF!</definedName>
    <definedName name="Percentage_of_Single_Step_Transfer_Calls_v711">#REF!</definedName>
    <definedName name="Percentage_of_Single_Step_Transfer_Calls_v721" localSheetId="1">#REF!</definedName>
    <definedName name="Percentage_of_Single_Step_Transfer_Calls_v721" localSheetId="5">#REF!</definedName>
    <definedName name="Percentage_of_Single_Step_Transfer_Calls_v721" localSheetId="2">#REF!</definedName>
    <definedName name="Percentage_of_Single_Step_Transfer_Calls_v721" localSheetId="3">#REF!</definedName>
    <definedName name="Percentage_of_Single_Step_Transfer_Calls_v721" localSheetId="4">#REF!</definedName>
    <definedName name="Percentage_of_Single_Step_Transfer_Calls_v721" localSheetId="0">#REF!</definedName>
    <definedName name="Percentage_of_Single_Step_Transfer_Calls_v721" localSheetId="8">#REF!</definedName>
    <definedName name="Percentage_of_Single_Step_Transfer_Calls_v721">#REF!</definedName>
    <definedName name="Percentage_of_Single_Step_Transfer_Calls_v751" localSheetId="1">#REF!</definedName>
    <definedName name="Percentage_of_Single_Step_Transfer_Calls_v751" localSheetId="5">#REF!</definedName>
    <definedName name="Percentage_of_Single_Step_Transfer_Calls_v751" localSheetId="2">#REF!</definedName>
    <definedName name="Percentage_of_Single_Step_Transfer_Calls_v751" localSheetId="3">#REF!</definedName>
    <definedName name="Percentage_of_Single_Step_Transfer_Calls_v751" localSheetId="4">#REF!</definedName>
    <definedName name="Percentage_of_Single_Step_Transfer_Calls_v751" localSheetId="0">#REF!</definedName>
    <definedName name="Percentage_of_Single_Step_Transfer_Calls_v751" localSheetId="8">#REF!</definedName>
    <definedName name="Percentage_of_Single_Step_Transfer_Calls_v751">#REF!</definedName>
    <definedName name="Percentage_of_Single_Step_Transfer_Calls_v801" localSheetId="1">'Bandwidth Calculator'!$B$21</definedName>
    <definedName name="Percentage_of_Single_Step_Transfer_Calls_v801" localSheetId="5">#REF!</definedName>
    <definedName name="Percentage_of_Single_Step_Transfer_Calls_v801" localSheetId="2">'Finesse BW'!$B$21</definedName>
    <definedName name="Percentage_of_Single_Step_Transfer_Calls_v801" localSheetId="3">#REF!</definedName>
    <definedName name="Percentage_of_Single_Step_Transfer_Calls_v801" localSheetId="4">#REF!</definedName>
    <definedName name="Percentage_of_Single_Step_Transfer_Calls_v801" localSheetId="0">#REF!</definedName>
    <definedName name="Percentage_of_Single_Step_Transfer_Calls_v801" localSheetId="8">#REF!</definedName>
    <definedName name="Percentage_of_Single_Step_Transfer_Calls_v801">#REF!</definedName>
    <definedName name="Percentage_of_SingleStep_Transfer_Calls" localSheetId="1">'Bandwidth Calculator'!$B$23</definedName>
    <definedName name="Percentage_of_SingleStep_Transfer_Calls" localSheetId="5">'[1]Finesse 11.6'!$B$23</definedName>
    <definedName name="Percentage_of_SingleStep_Transfer_Calls" localSheetId="2">'Finesse BW'!$B$23</definedName>
    <definedName name="Percentage_of_SingleStep_Transfer_Calls" localSheetId="3">'[2]Finesse 12.5'!$B$23</definedName>
    <definedName name="Percentage_of_SingleStep_Transfer_Calls">#REF!</definedName>
    <definedName name="Skill_Group_Refresh_Rate" localSheetId="5">'[1]Voice BW Data'!$B$35</definedName>
    <definedName name="Skill_Group_Refresh_Rate" localSheetId="2">'Finesse BW Data'!$B$43</definedName>
    <definedName name="Skill_Group_Refresh_Rate" localSheetId="3">'Finesse BW Data'!$B$43</definedName>
    <definedName name="Skill_Group_Refresh_Rate">#REF!</definedName>
    <definedName name="Skill_Group_Refresh_Rate_v91" localSheetId="3">'Finesse BW Data'!$D$43</definedName>
    <definedName name="Skill_Group_Refresh_Rate_v91">#REF!</definedName>
    <definedName name="Skill_Group_Update_Interval_v5x" localSheetId="1">#REF!</definedName>
    <definedName name="Skill_Group_Update_Interval_v5x" localSheetId="5">#REF!</definedName>
    <definedName name="Skill_Group_Update_Interval_v5x" localSheetId="2">#REF!</definedName>
    <definedName name="Skill_Group_Update_Interval_v5x" localSheetId="3">#REF!</definedName>
    <definedName name="Skill_Group_Update_Interval_v5x" localSheetId="4">#REF!</definedName>
    <definedName name="Skill_Group_Update_Interval_v5x" localSheetId="0">#REF!</definedName>
    <definedName name="Skill_Group_Update_Interval_v5x" localSheetId="8">#REF!</definedName>
    <definedName name="Skill_Group_Update_Interval_v5x">#REF!</definedName>
    <definedName name="Skill_Group_Update_Interval_v60" localSheetId="1">#REF!</definedName>
    <definedName name="Skill_Group_Update_Interval_v60" localSheetId="5">#REF!</definedName>
    <definedName name="Skill_Group_Update_Interval_v60" localSheetId="2">#REF!</definedName>
    <definedName name="Skill_Group_Update_Interval_v60" localSheetId="3">#REF!</definedName>
    <definedName name="Skill_Group_Update_Interval_v60" localSheetId="4">#REF!</definedName>
    <definedName name="Skill_Group_Update_Interval_v60" localSheetId="0">#REF!</definedName>
    <definedName name="Skill_Group_Update_Interval_v60" localSheetId="8">#REF!</definedName>
    <definedName name="Skill_Group_Update_Interval_v60">#REF!</definedName>
    <definedName name="Skill_Group_Update_Interval_v70" localSheetId="1">#REF!</definedName>
    <definedName name="Skill_Group_Update_Interval_v70" localSheetId="5">#REF!</definedName>
    <definedName name="Skill_Group_Update_Interval_v70" localSheetId="2">#REF!</definedName>
    <definedName name="Skill_Group_Update_Interval_v70" localSheetId="3">#REF!</definedName>
    <definedName name="Skill_Group_Update_Interval_v70" localSheetId="4">#REF!</definedName>
    <definedName name="Skill_Group_Update_Interval_v70" localSheetId="0">#REF!</definedName>
    <definedName name="Skill_Group_Update_Interval_v70" localSheetId="8">#REF!</definedName>
    <definedName name="Skill_Group_Update_Interval_v70">#REF!</definedName>
    <definedName name="Skill_Group_Update_Interval_v711" localSheetId="1">#REF!</definedName>
    <definedName name="Skill_Group_Update_Interval_v711" localSheetId="5">#REF!</definedName>
    <definedName name="Skill_Group_Update_Interval_v711" localSheetId="2">#REF!</definedName>
    <definedName name="Skill_Group_Update_Interval_v711" localSheetId="3">#REF!</definedName>
    <definedName name="Skill_Group_Update_Interval_v711" localSheetId="4">#REF!</definedName>
    <definedName name="Skill_Group_Update_Interval_v711" localSheetId="0">#REF!</definedName>
    <definedName name="Skill_Group_Update_Interval_v711" localSheetId="8">#REF!</definedName>
    <definedName name="Skill_Group_Update_Interval_v711">#REF!</definedName>
    <definedName name="Skill_Group_Update_Interval_v721" localSheetId="1">#REF!</definedName>
    <definedName name="Skill_Group_Update_Interval_v721" localSheetId="5">#REF!</definedName>
    <definedName name="Skill_Group_Update_Interval_v721" localSheetId="2">#REF!</definedName>
    <definedName name="Skill_Group_Update_Interval_v721" localSheetId="3">#REF!</definedName>
    <definedName name="Skill_Group_Update_Interval_v721" localSheetId="4">#REF!</definedName>
    <definedName name="Skill_Group_Update_Interval_v721" localSheetId="0">#REF!</definedName>
    <definedName name="Skill_Group_Update_Interval_v721" localSheetId="8">#REF!</definedName>
    <definedName name="Skill_Group_Update_Interval_v721">#REF!</definedName>
    <definedName name="Skill_Group_Update_Interval_v751" localSheetId="1">#REF!</definedName>
    <definedName name="Skill_Group_Update_Interval_v751" localSheetId="5">#REF!</definedName>
    <definedName name="Skill_Group_Update_Interval_v751" localSheetId="2">#REF!</definedName>
    <definedName name="Skill_Group_Update_Interval_v751" localSheetId="3">#REF!</definedName>
    <definedName name="Skill_Group_Update_Interval_v751" localSheetId="4">#REF!</definedName>
    <definedName name="Skill_Group_Update_Interval_v751" localSheetId="0">#REF!</definedName>
    <definedName name="Skill_Group_Update_Interval_v751" localSheetId="8">#REF!</definedName>
    <definedName name="Skill_Group_Update_Interval_v751">#REF!</definedName>
    <definedName name="Skill_Group_Update_Interval_v801" localSheetId="1">'Bandwidth Calculator'!$B$35</definedName>
    <definedName name="Skill_Group_Update_Interval_v801" localSheetId="5">#REF!</definedName>
    <definedName name="Skill_Group_Update_Interval_v801" localSheetId="2">'Finesse BW'!$B$35</definedName>
    <definedName name="Skill_Group_Update_Interval_v801" localSheetId="3">#REF!</definedName>
    <definedName name="Skill_Group_Update_Interval_v801" localSheetId="4">#REF!</definedName>
    <definedName name="Skill_Group_Update_Interval_v801" localSheetId="0">#REF!</definedName>
    <definedName name="Skill_Group_Update_Interval_v801" localSheetId="8">#REF!</definedName>
    <definedName name="Skill_Group_Update_Interval_v801">#REF!</definedName>
    <definedName name="Sum_of_all_Call_Variable_Values" localSheetId="1">'Bandwidth Calculator'!$B$46</definedName>
    <definedName name="Sum_of_all_Call_Variable_Values" localSheetId="2">'Finesse BW'!$B$46</definedName>
    <definedName name="Sum_of_all_Call_Variable_Values_v5x" localSheetId="1">#REF!</definedName>
    <definedName name="Sum_of_all_Call_Variable_Values_v5x" localSheetId="5">#REF!</definedName>
    <definedName name="Sum_of_all_Call_Variable_Values_v5x" localSheetId="2">#REF!</definedName>
    <definedName name="Sum_of_all_Call_Variable_Values_v5x" localSheetId="3">#REF!</definedName>
    <definedName name="Sum_of_all_Call_Variable_Values_v5x" localSheetId="4">#REF!</definedName>
    <definedName name="Sum_of_all_Call_Variable_Values_v5x" localSheetId="0">#REF!</definedName>
    <definedName name="Sum_of_all_Call_Variable_Values_v5x" localSheetId="8">#REF!</definedName>
    <definedName name="Sum_of_all_Call_Variable_Values_v5x">#REF!</definedName>
    <definedName name="Sum_of_all_Call_Variable_Values_v60" localSheetId="1">#REF!</definedName>
    <definedName name="Sum_of_all_Call_Variable_Values_v60" localSheetId="5">#REF!</definedName>
    <definedName name="Sum_of_all_Call_Variable_Values_v60" localSheetId="2">#REF!</definedName>
    <definedName name="Sum_of_all_Call_Variable_Values_v60" localSheetId="3">#REF!</definedName>
    <definedName name="Sum_of_all_Call_Variable_Values_v60" localSheetId="4">#REF!</definedName>
    <definedName name="Sum_of_all_Call_Variable_Values_v60" localSheetId="0">#REF!</definedName>
    <definedName name="Sum_of_all_Call_Variable_Values_v60" localSheetId="8">#REF!</definedName>
    <definedName name="Sum_of_all_Call_Variable_Values_v60">#REF!</definedName>
    <definedName name="Sum_of_all_Call_Variable_Values_v70" localSheetId="1">#REF!</definedName>
    <definedName name="Sum_of_all_Call_Variable_Values_v70" localSheetId="5">#REF!</definedName>
    <definedName name="Sum_of_all_Call_Variable_Values_v70" localSheetId="2">#REF!</definedName>
    <definedName name="Sum_of_all_Call_Variable_Values_v70" localSheetId="3">#REF!</definedName>
    <definedName name="Sum_of_all_Call_Variable_Values_v70" localSheetId="4">#REF!</definedName>
    <definedName name="Sum_of_all_Call_Variable_Values_v70" localSheetId="0">#REF!</definedName>
    <definedName name="Sum_of_all_Call_Variable_Values_v70" localSheetId="8">#REF!</definedName>
    <definedName name="Sum_of_all_Call_Variable_Values_v70">#REF!</definedName>
    <definedName name="Sum_of_all_Call_Variable_Values_v711" localSheetId="1">#REF!</definedName>
    <definedName name="Sum_of_all_Call_Variable_Values_v711" localSheetId="5">#REF!</definedName>
    <definedName name="Sum_of_all_Call_Variable_Values_v711" localSheetId="2">#REF!</definedName>
    <definedName name="Sum_of_all_Call_Variable_Values_v711" localSheetId="3">#REF!</definedName>
    <definedName name="Sum_of_all_Call_Variable_Values_v711" localSheetId="4">#REF!</definedName>
    <definedName name="Sum_of_all_Call_Variable_Values_v711" localSheetId="0">#REF!</definedName>
    <definedName name="Sum_of_all_Call_Variable_Values_v711" localSheetId="8">#REF!</definedName>
    <definedName name="Sum_of_all_Call_Variable_Values_v711">#REF!</definedName>
    <definedName name="Sum_of_all_Call_Variable_Values_v721" localSheetId="1">#REF!</definedName>
    <definedName name="Sum_of_all_Call_Variable_Values_v721" localSheetId="5">#REF!</definedName>
    <definedName name="Sum_of_all_Call_Variable_Values_v721" localSheetId="2">#REF!</definedName>
    <definedName name="Sum_of_all_Call_Variable_Values_v721" localSheetId="3">#REF!</definedName>
    <definedName name="Sum_of_all_Call_Variable_Values_v721" localSheetId="4">#REF!</definedName>
    <definedName name="Sum_of_all_Call_Variable_Values_v721" localSheetId="0">#REF!</definedName>
    <definedName name="Sum_of_all_Call_Variable_Values_v721" localSheetId="8">#REF!</definedName>
    <definedName name="Sum_of_all_Call_Variable_Values_v721">#REF!</definedName>
    <definedName name="Sum_of_all_Call_Variable_Values_v751" localSheetId="1">#REF!</definedName>
    <definedName name="Sum_of_all_Call_Variable_Values_v751" localSheetId="5">#REF!</definedName>
    <definedName name="Sum_of_all_Call_Variable_Values_v751" localSheetId="2">#REF!</definedName>
    <definedName name="Sum_of_all_Call_Variable_Values_v751" localSheetId="3">#REF!</definedName>
    <definedName name="Sum_of_all_Call_Variable_Values_v751" localSheetId="4">#REF!</definedName>
    <definedName name="Sum_of_all_Call_Variable_Values_v751" localSheetId="0">#REF!</definedName>
    <definedName name="Sum_of_all_Call_Variable_Values_v751" localSheetId="8">#REF!</definedName>
    <definedName name="Sum_of_all_Call_Variable_Values_v751">#REF!</definedName>
    <definedName name="Sum_of_all_Call_Variable_Values_v901" localSheetId="1">'Bandwidth Calculator'!$B$46</definedName>
    <definedName name="Sum_of_all_Call_Variable_Values_v901" localSheetId="5">#REF!</definedName>
    <definedName name="Sum_of_all_Call_Variable_Values_v901" localSheetId="2">'Finesse BW'!$B$46</definedName>
    <definedName name="Sum_of_all_Call_Variable_Values_v901" localSheetId="3">#REF!</definedName>
    <definedName name="Sum_of_all_Call_Variable_Values_v901" localSheetId="4">#REF!</definedName>
    <definedName name="Sum_of_all_Call_Variable_Values_v901" localSheetId="0">#REF!</definedName>
    <definedName name="Sum_of_all_Call_Variable_Values_v901" localSheetId="8">#REF!</definedName>
    <definedName name="Sum_of_all_Call_Variable_Values_v901">#REF!</definedName>
    <definedName name="Sum_of_all_ECC_Variable_Names" localSheetId="1">'Bandwidth Calculator'!$B$42</definedName>
    <definedName name="Sum_of_all_ECC_Variable_Names" localSheetId="2">'Finesse BW'!$B$42</definedName>
    <definedName name="Sum_of_all_ECC_Variable_Names_v5x" localSheetId="1">#REF!</definedName>
    <definedName name="Sum_of_all_ECC_Variable_Names_v5x" localSheetId="5">#REF!</definedName>
    <definedName name="Sum_of_all_ECC_Variable_Names_v5x" localSheetId="2">#REF!</definedName>
    <definedName name="Sum_of_all_ECC_Variable_Names_v5x" localSheetId="3">#REF!</definedName>
    <definedName name="Sum_of_all_ECC_Variable_Names_v5x" localSheetId="4">#REF!</definedName>
    <definedName name="Sum_of_all_ECC_Variable_Names_v5x" localSheetId="0">#REF!</definedName>
    <definedName name="Sum_of_all_ECC_Variable_Names_v5x" localSheetId="8">#REF!</definedName>
    <definedName name="Sum_of_all_ECC_Variable_Names_v5x">#REF!</definedName>
    <definedName name="Sum_of_all_ECC_Variable_Names_v60" localSheetId="1">#REF!</definedName>
    <definedName name="Sum_of_all_ECC_Variable_Names_v60" localSheetId="5">#REF!</definedName>
    <definedName name="Sum_of_all_ECC_Variable_Names_v60" localSheetId="2">#REF!</definedName>
    <definedName name="Sum_of_all_ECC_Variable_Names_v60" localSheetId="3">#REF!</definedName>
    <definedName name="Sum_of_all_ECC_Variable_Names_v60" localSheetId="4">#REF!</definedName>
    <definedName name="Sum_of_all_ECC_Variable_Names_v60" localSheetId="0">#REF!</definedName>
    <definedName name="Sum_of_all_ECC_Variable_Names_v60" localSheetId="8">#REF!</definedName>
    <definedName name="Sum_of_all_ECC_Variable_Names_v60">#REF!</definedName>
    <definedName name="Sum_of_all_ECC_Variable_Names_v70" localSheetId="1">#REF!</definedName>
    <definedName name="Sum_of_all_ECC_Variable_Names_v70" localSheetId="5">#REF!</definedName>
    <definedName name="Sum_of_all_ECC_Variable_Names_v70" localSheetId="2">#REF!</definedName>
    <definedName name="Sum_of_all_ECC_Variable_Names_v70" localSheetId="3">#REF!</definedName>
    <definedName name="Sum_of_all_ECC_Variable_Names_v70" localSheetId="4">#REF!</definedName>
    <definedName name="Sum_of_all_ECC_Variable_Names_v70" localSheetId="0">#REF!</definedName>
    <definedName name="Sum_of_all_ECC_Variable_Names_v70" localSheetId="8">#REF!</definedName>
    <definedName name="Sum_of_all_ECC_Variable_Names_v70">#REF!</definedName>
    <definedName name="Sum_of_all_ECC_Variable_Names_v711" localSheetId="1">#REF!</definedName>
    <definedName name="Sum_of_all_ECC_Variable_Names_v711" localSheetId="5">#REF!</definedName>
    <definedName name="Sum_of_all_ECC_Variable_Names_v711" localSheetId="2">#REF!</definedName>
    <definedName name="Sum_of_all_ECC_Variable_Names_v711" localSheetId="3">#REF!</definedName>
    <definedName name="Sum_of_all_ECC_Variable_Names_v711" localSheetId="4">#REF!</definedName>
    <definedName name="Sum_of_all_ECC_Variable_Names_v711" localSheetId="0">#REF!</definedName>
    <definedName name="Sum_of_all_ECC_Variable_Names_v711" localSheetId="8">#REF!</definedName>
    <definedName name="Sum_of_all_ECC_Variable_Names_v711">#REF!</definedName>
    <definedName name="Sum_of_all_ECC_Variable_Names_v721" localSheetId="1">#REF!</definedName>
    <definedName name="Sum_of_all_ECC_Variable_Names_v721" localSheetId="5">#REF!</definedName>
    <definedName name="Sum_of_all_ECC_Variable_Names_v721" localSheetId="2">#REF!</definedName>
    <definedName name="Sum_of_all_ECC_Variable_Names_v721" localSheetId="3">#REF!</definedName>
    <definedName name="Sum_of_all_ECC_Variable_Names_v721" localSheetId="4">#REF!</definedName>
    <definedName name="Sum_of_all_ECC_Variable_Names_v721" localSheetId="0">#REF!</definedName>
    <definedName name="Sum_of_all_ECC_Variable_Names_v721" localSheetId="8">#REF!</definedName>
    <definedName name="Sum_of_all_ECC_Variable_Names_v721">#REF!</definedName>
    <definedName name="Sum_of_all_ECC_Variable_Names_v751" localSheetId="1">#REF!</definedName>
    <definedName name="Sum_of_all_ECC_Variable_Names_v751" localSheetId="5">#REF!</definedName>
    <definedName name="Sum_of_all_ECC_Variable_Names_v751" localSheetId="2">#REF!</definedName>
    <definedName name="Sum_of_all_ECC_Variable_Names_v751" localSheetId="3">#REF!</definedName>
    <definedName name="Sum_of_all_ECC_Variable_Names_v751" localSheetId="4">#REF!</definedName>
    <definedName name="Sum_of_all_ECC_Variable_Names_v751" localSheetId="0">#REF!</definedName>
    <definedName name="Sum_of_all_ECC_Variable_Names_v751" localSheetId="8">#REF!</definedName>
    <definedName name="Sum_of_all_ECC_Variable_Names_v751">#REF!</definedName>
    <definedName name="Sum_of_all_ECC_Variable_Names_v901" localSheetId="1">'Bandwidth Calculator'!$B$42</definedName>
    <definedName name="Sum_of_all_ECC_Variable_Names_v901" localSheetId="5">#REF!</definedName>
    <definedName name="Sum_of_all_ECC_Variable_Names_v901" localSheetId="2">'Finesse BW'!$B$42</definedName>
    <definedName name="Sum_of_all_ECC_Variable_Names_v901" localSheetId="3">#REF!</definedName>
    <definedName name="Sum_of_all_ECC_Variable_Names_v901" localSheetId="4">#REF!</definedName>
    <definedName name="Sum_of_all_ECC_Variable_Names_v901" localSheetId="0">#REF!</definedName>
    <definedName name="Sum_of_all_ECC_Variable_Names_v901" localSheetId="8">#REF!</definedName>
    <definedName name="Sum_of_all_ECC_Variable_Names_v901">#REF!</definedName>
    <definedName name="Sum_of_all_ECC_Variable_Values" localSheetId="1">'Bandwidth Calculator'!$B$43</definedName>
    <definedName name="Sum_of_all_ECC_Variable_Values" localSheetId="2">'Finesse BW'!$B$43</definedName>
    <definedName name="Sum_of_all_ECC_Variable_Values_v5x" localSheetId="1">#REF!</definedName>
    <definedName name="Sum_of_all_ECC_Variable_Values_v5x" localSheetId="5">#REF!</definedName>
    <definedName name="Sum_of_all_ECC_Variable_Values_v5x" localSheetId="2">#REF!</definedName>
    <definedName name="Sum_of_all_ECC_Variable_Values_v5x" localSheetId="3">#REF!</definedName>
    <definedName name="Sum_of_all_ECC_Variable_Values_v5x" localSheetId="4">#REF!</definedName>
    <definedName name="Sum_of_all_ECC_Variable_Values_v5x" localSheetId="0">#REF!</definedName>
    <definedName name="Sum_of_all_ECC_Variable_Values_v5x" localSheetId="8">#REF!</definedName>
    <definedName name="Sum_of_all_ECC_Variable_Values_v5x">#REF!</definedName>
    <definedName name="Sum_of_all_ECC_Variable_Values_v60" localSheetId="1">#REF!</definedName>
    <definedName name="Sum_of_all_ECC_Variable_Values_v60" localSheetId="5">#REF!</definedName>
    <definedName name="Sum_of_all_ECC_Variable_Values_v60" localSheetId="2">#REF!</definedName>
    <definedName name="Sum_of_all_ECC_Variable_Values_v60" localSheetId="3">#REF!</definedName>
    <definedName name="Sum_of_all_ECC_Variable_Values_v60" localSheetId="4">#REF!</definedName>
    <definedName name="Sum_of_all_ECC_Variable_Values_v60" localSheetId="0">#REF!</definedName>
    <definedName name="Sum_of_all_ECC_Variable_Values_v60" localSheetId="8">#REF!</definedName>
    <definedName name="Sum_of_all_ECC_Variable_Values_v60">#REF!</definedName>
    <definedName name="Sum_of_all_ECC_Variable_Values_v70" localSheetId="1">#REF!</definedName>
    <definedName name="Sum_of_all_ECC_Variable_Values_v70" localSheetId="5">#REF!</definedName>
    <definedName name="Sum_of_all_ECC_Variable_Values_v70" localSheetId="2">#REF!</definedName>
    <definedName name="Sum_of_all_ECC_Variable_Values_v70" localSheetId="3">#REF!</definedName>
    <definedName name="Sum_of_all_ECC_Variable_Values_v70" localSheetId="4">#REF!</definedName>
    <definedName name="Sum_of_all_ECC_Variable_Values_v70" localSheetId="0">#REF!</definedName>
    <definedName name="Sum_of_all_ECC_Variable_Values_v70" localSheetId="8">#REF!</definedName>
    <definedName name="Sum_of_all_ECC_Variable_Values_v70">#REF!</definedName>
    <definedName name="Sum_of_all_ECC_Variable_Values_v711" localSheetId="1">#REF!</definedName>
    <definedName name="Sum_of_all_ECC_Variable_Values_v711" localSheetId="5">#REF!</definedName>
    <definedName name="Sum_of_all_ECC_Variable_Values_v711" localSheetId="2">#REF!</definedName>
    <definedName name="Sum_of_all_ECC_Variable_Values_v711" localSheetId="3">#REF!</definedName>
    <definedName name="Sum_of_all_ECC_Variable_Values_v711" localSheetId="4">#REF!</definedName>
    <definedName name="Sum_of_all_ECC_Variable_Values_v711" localSheetId="0">#REF!</definedName>
    <definedName name="Sum_of_all_ECC_Variable_Values_v711" localSheetId="8">#REF!</definedName>
    <definedName name="Sum_of_all_ECC_Variable_Values_v711">#REF!</definedName>
    <definedName name="Sum_of_all_ECC_Variable_Values_v721" localSheetId="1">#REF!</definedName>
    <definedName name="Sum_of_all_ECC_Variable_Values_v721" localSheetId="5">#REF!</definedName>
    <definedName name="Sum_of_all_ECC_Variable_Values_v721" localSheetId="2">#REF!</definedName>
    <definedName name="Sum_of_all_ECC_Variable_Values_v721" localSheetId="3">#REF!</definedName>
    <definedName name="Sum_of_all_ECC_Variable_Values_v721" localSheetId="4">#REF!</definedName>
    <definedName name="Sum_of_all_ECC_Variable_Values_v721" localSheetId="0">#REF!</definedName>
    <definedName name="Sum_of_all_ECC_Variable_Values_v721" localSheetId="8">#REF!</definedName>
    <definedName name="Sum_of_all_ECC_Variable_Values_v721">#REF!</definedName>
    <definedName name="Sum_of_all_ECC_Variable_Values_v751" localSheetId="1">#REF!</definedName>
    <definedName name="Sum_of_all_ECC_Variable_Values_v751" localSheetId="5">#REF!</definedName>
    <definedName name="Sum_of_all_ECC_Variable_Values_v751" localSheetId="2">#REF!</definedName>
    <definedName name="Sum_of_all_ECC_Variable_Values_v751" localSheetId="3">#REF!</definedName>
    <definedName name="Sum_of_all_ECC_Variable_Values_v751" localSheetId="4">#REF!</definedName>
    <definedName name="Sum_of_all_ECC_Variable_Values_v751" localSheetId="0">#REF!</definedName>
    <definedName name="Sum_of_all_ECC_Variable_Values_v751" localSheetId="8">#REF!</definedName>
    <definedName name="Sum_of_all_ECC_Variable_Values_v751">#REF!</definedName>
    <definedName name="Sum_of_all_ECC_Variable_Values_v901" localSheetId="1">'Bandwidth Calculator'!$B$43</definedName>
    <definedName name="Sum_of_all_ECC_Variable_Values_v901" localSheetId="5">#REF!</definedName>
    <definedName name="Sum_of_all_ECC_Variable_Values_v901" localSheetId="2">'Finesse BW'!$B$43</definedName>
    <definedName name="Sum_of_all_ECC_Variable_Values_v901" localSheetId="3">#REF!</definedName>
    <definedName name="Sum_of_all_ECC_Variable_Values_v901" localSheetId="4">#REF!</definedName>
    <definedName name="Sum_of_all_ECC_Variable_Values_v901" localSheetId="0">#REF!</definedName>
    <definedName name="Sum_of_all_ECC_Variable_Values_v901" localSheetId="8">#REF!</definedName>
    <definedName name="Sum_of_all_ECC_Variable_Values_v901">#REF!</definedName>
    <definedName name="Total" localSheetId="1">'Bandwidth Calculator'!#REF!</definedName>
    <definedName name="Total" localSheetId="2">'Finesse BW'!$B$25</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29" l="1"/>
  <c r="B46" i="29"/>
  <c r="B45" i="29"/>
  <c r="B5" i="30" l="1"/>
  <c r="D5" i="30"/>
  <c r="B6" i="30"/>
  <c r="B7" i="30"/>
  <c r="D7" i="30"/>
  <c r="B8" i="30"/>
  <c r="E9" i="30"/>
  <c r="E10" i="30"/>
  <c r="E15" i="30"/>
  <c r="G15" i="30"/>
  <c r="E16" i="30"/>
  <c r="E17" i="30"/>
  <c r="E18" i="30"/>
  <c r="G18" i="30"/>
  <c r="E24" i="30"/>
  <c r="E25" i="30"/>
  <c r="G34" i="30"/>
  <c r="G35" i="30"/>
  <c r="G36" i="30"/>
  <c r="G37" i="30"/>
  <c r="B70" i="29"/>
  <c r="B69" i="29"/>
  <c r="B112" i="29"/>
  <c r="B111" i="29"/>
  <c r="B110" i="29"/>
  <c r="B109" i="29"/>
  <c r="B108" i="29"/>
  <c r="B107" i="29"/>
  <c r="B106" i="29"/>
  <c r="B105" i="29"/>
  <c r="B104" i="29"/>
  <c r="B57" i="29"/>
  <c r="B56" i="29"/>
  <c r="B55" i="29"/>
  <c r="B54" i="29"/>
  <c r="B53" i="29"/>
  <c r="B43" i="29"/>
  <c r="B42" i="29"/>
  <c r="B41" i="29"/>
  <c r="B31" i="29"/>
  <c r="B28" i="29"/>
  <c r="B27" i="29"/>
  <c r="B26" i="29"/>
  <c r="B24" i="29"/>
  <c r="B22" i="29"/>
  <c r="B20" i="29"/>
  <c r="B19" i="29"/>
  <c r="B15" i="29"/>
  <c r="B14" i="29"/>
  <c r="B50" i="29"/>
  <c r="B10" i="29"/>
  <c r="B9" i="29"/>
  <c r="D119" i="29"/>
  <c r="B118" i="29"/>
  <c r="B75" i="29"/>
  <c r="B38" i="29"/>
  <c r="B94" i="29" l="1"/>
  <c r="B49" i="29"/>
  <c r="B16" i="29"/>
  <c r="B76" i="29" s="1"/>
  <c r="B52" i="29"/>
  <c r="B59" i="29" s="1"/>
  <c r="E7" i="19" s="1"/>
  <c r="B63" i="29"/>
  <c r="B65" i="29" s="1"/>
  <c r="B62" i="29"/>
  <c r="B64" i="29" s="1"/>
  <c r="B116" i="29"/>
  <c r="B117" i="29" s="1"/>
  <c r="B119" i="29" s="1"/>
  <c r="B120" i="29" s="1"/>
  <c r="B25" i="29"/>
  <c r="B51" i="29"/>
  <c r="B17" i="29"/>
  <c r="B3" i="28"/>
  <c r="B8" i="28" s="1"/>
  <c r="E133" i="19" s="1"/>
  <c r="B3" i="27"/>
  <c r="B4" i="27"/>
  <c r="B5" i="27"/>
  <c r="B6" i="27"/>
  <c r="B7" i="27"/>
  <c r="B8" i="27"/>
  <c r="B9" i="27"/>
  <c r="B10" i="27"/>
  <c r="B11" i="27"/>
  <c r="B12" i="27"/>
  <c r="B13" i="27"/>
  <c r="B34" i="27"/>
  <c r="B35" i="27"/>
  <c r="B3" i="26"/>
  <c r="B4" i="26"/>
  <c r="B6" i="26"/>
  <c r="B9" i="26"/>
  <c r="B10" i="26"/>
  <c r="B11" i="26"/>
  <c r="B15" i="26"/>
  <c r="B3" i="25"/>
  <c r="B4" i="25"/>
  <c r="B6" i="25"/>
  <c r="B9" i="25"/>
  <c r="B10" i="25"/>
  <c r="B11" i="25"/>
  <c r="B15" i="25"/>
  <c r="B3" i="24"/>
  <c r="B4" i="24"/>
  <c r="B7" i="24"/>
  <c r="B14" i="24" s="1"/>
  <c r="B8" i="24"/>
  <c r="B16" i="24" s="1"/>
  <c r="B3" i="23"/>
  <c r="B50" i="23" s="1"/>
  <c r="B4" i="23"/>
  <c r="B56" i="23" s="1"/>
  <c r="B6" i="23"/>
  <c r="B7" i="23"/>
  <c r="B8" i="23"/>
  <c r="B12" i="23"/>
  <c r="B13" i="23"/>
  <c r="O41" i="23"/>
  <c r="O42" i="23" s="1"/>
  <c r="I3" i="22"/>
  <c r="K3" i="22"/>
  <c r="B4" i="22"/>
  <c r="I4" i="22"/>
  <c r="K4" i="22"/>
  <c r="B5" i="22"/>
  <c r="K5" i="22"/>
  <c r="K6" i="22"/>
  <c r="K7" i="22"/>
  <c r="K10" i="22"/>
  <c r="K11" i="22"/>
  <c r="K12" i="22"/>
  <c r="B13" i="22"/>
  <c r="K13" i="22"/>
  <c r="K14" i="22"/>
  <c r="K15" i="22"/>
  <c r="K16" i="22"/>
  <c r="K17" i="22"/>
  <c r="K18" i="22"/>
  <c r="U43" i="22"/>
  <c r="C25" i="19"/>
  <c r="B38" i="19"/>
  <c r="C38" i="19"/>
  <c r="B58" i="29" l="1"/>
  <c r="E6" i="19" s="1"/>
  <c r="B91" i="29"/>
  <c r="B87" i="29"/>
  <c r="B83" i="29"/>
  <c r="B78" i="29"/>
  <c r="B92" i="29"/>
  <c r="B88" i="29"/>
  <c r="B84" i="29"/>
  <c r="B79" i="29"/>
  <c r="B93" i="29"/>
  <c r="B89" i="29"/>
  <c r="B85" i="29"/>
  <c r="B81" i="29"/>
  <c r="B90" i="29"/>
  <c r="B86" i="29"/>
  <c r="B82" i="29"/>
  <c r="B77" i="29"/>
  <c r="B42" i="23"/>
  <c r="B5" i="24"/>
  <c r="B6" i="24" s="1"/>
  <c r="B14" i="23"/>
  <c r="B15" i="23" s="1"/>
  <c r="B16" i="23" s="1"/>
  <c r="B16" i="26"/>
  <c r="B38" i="23"/>
  <c r="B17" i="22"/>
  <c r="B24" i="22" s="1"/>
  <c r="B16" i="22"/>
  <c r="B23" i="22" s="1"/>
  <c r="B54" i="23"/>
  <c r="B10" i="23"/>
  <c r="B11" i="23" s="1"/>
  <c r="B52" i="23"/>
  <c r="B5" i="23"/>
  <c r="B55" i="23" s="1"/>
  <c r="B17" i="24"/>
  <c r="B18" i="24" s="1"/>
  <c r="B51" i="23"/>
  <c r="B40" i="23"/>
  <c r="B36" i="24"/>
  <c r="B22" i="24"/>
  <c r="B19" i="22"/>
  <c r="B30" i="22" s="1"/>
  <c r="B16" i="25"/>
  <c r="B5" i="25"/>
  <c r="B7" i="25" s="1"/>
  <c r="B8" i="25" s="1"/>
  <c r="B5" i="26"/>
  <c r="B7" i="26" s="1"/>
  <c r="B36" i="27"/>
  <c r="B33" i="27"/>
  <c r="B32" i="27"/>
  <c r="B18" i="22"/>
  <c r="B26" i="22" s="1"/>
  <c r="B17" i="26"/>
  <c r="B17" i="25"/>
  <c r="B96" i="29" l="1"/>
  <c r="B99" i="29" s="1"/>
  <c r="B95" i="29"/>
  <c r="B25" i="22"/>
  <c r="E67" i="19" s="1"/>
  <c r="B21" i="25"/>
  <c r="B22" i="26"/>
  <c r="B37" i="27"/>
  <c r="E119" i="19" s="1"/>
  <c r="B23" i="24"/>
  <c r="B30" i="24" s="1"/>
  <c r="B31" i="24" s="1"/>
  <c r="E96" i="19" s="1"/>
  <c r="B41" i="23"/>
  <c r="B57" i="23"/>
  <c r="B76" i="23" s="1"/>
  <c r="B8" i="26"/>
  <c r="B21" i="26" s="1"/>
  <c r="B43" i="23"/>
  <c r="B65" i="23" s="1"/>
  <c r="B29" i="22"/>
  <c r="B22" i="25"/>
  <c r="B27" i="22"/>
  <c r="B28" i="22" s="1"/>
  <c r="E66" i="19" s="1"/>
  <c r="B97" i="29" l="1"/>
  <c r="E14" i="19" s="1"/>
  <c r="B98" i="29"/>
  <c r="B23" i="26"/>
  <c r="E111" i="19" s="1"/>
  <c r="B23" i="25"/>
  <c r="E103" i="19" s="1"/>
  <c r="B74" i="23"/>
  <c r="B58" i="23"/>
  <c r="B44" i="23"/>
  <c r="B67" i="23"/>
  <c r="D95" i="29" l="1"/>
  <c r="D93" i="29"/>
  <c r="D89" i="29"/>
  <c r="D85" i="29"/>
  <c r="D81" i="29"/>
  <c r="D76" i="29"/>
  <c r="D96" i="29"/>
  <c r="D90" i="29"/>
  <c r="D86" i="29"/>
  <c r="D82" i="29"/>
  <c r="D77" i="29"/>
  <c r="D91" i="29"/>
  <c r="D87" i="29"/>
  <c r="D83" i="29"/>
  <c r="D78" i="29"/>
  <c r="D92" i="29"/>
  <c r="D88" i="29"/>
  <c r="D84" i="29"/>
  <c r="D79" i="29"/>
  <c r="D75" i="29"/>
  <c r="B77" i="23"/>
  <c r="B75" i="23"/>
  <c r="B68" i="23"/>
  <c r="B66" i="23"/>
  <c r="D97" i="29" l="1"/>
  <c r="B69" i="23"/>
  <c r="E85" i="19" s="1"/>
  <c r="B78" i="23"/>
  <c r="E86" i="19" s="1"/>
  <c r="E4" i="19" s="1"/>
  <c r="E3"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Bhaswar Goswami (bhagoswa)</author>
  </authors>
  <commentList>
    <comment ref="K24" authorId="0" shapeId="0" xr:uid="{00000000-0006-0000-0200-000001000000}">
      <text>
        <r>
          <rPr>
            <b/>
            <sz val="9"/>
            <color indexed="81"/>
            <rFont val="Tahoma"/>
            <family val="2"/>
          </rPr>
          <t>Bhaswar Goswami (bhagoswa):</t>
        </r>
        <r>
          <rPr>
            <sz val="9"/>
            <color indexed="81"/>
            <rFont val="Tahoma"/>
            <family val="2"/>
          </rPr>
          <t xml:space="preserve">
Without Jabber</t>
        </r>
      </text>
    </comment>
    <comment ref="L24" authorId="0" shapeId="0" xr:uid="{00000000-0006-0000-0200-000002000000}">
      <text>
        <r>
          <rPr>
            <b/>
            <sz val="9"/>
            <color indexed="81"/>
            <rFont val="Tahoma"/>
            <family val="2"/>
          </rPr>
          <t>Bhaswar Goswami (bhagoswa):</t>
        </r>
        <r>
          <rPr>
            <sz val="9"/>
            <color indexed="81"/>
            <rFont val="Tahoma"/>
            <family val="2"/>
          </rPr>
          <t xml:space="preserve">
With Jabber</t>
        </r>
      </text>
    </comment>
  </commentList>
</comments>
</file>

<file path=xl/sharedStrings.xml><?xml version="1.0" encoding="utf-8"?>
<sst xmlns="http://schemas.openxmlformats.org/spreadsheetml/2006/main" count="1091" uniqueCount="539">
  <si>
    <t>Message Header + TCP Overhead</t>
  </si>
  <si>
    <t>Number of Agents</t>
  </si>
  <si>
    <t>Call Center Information</t>
  </si>
  <si>
    <t>Percentage of Incoming Straight Calls</t>
  </si>
  <si>
    <t>Percentage of Outgoing Straight Calls</t>
  </si>
  <si>
    <t>Percentage of Consultative Transfer Calls</t>
  </si>
  <si>
    <t>Percentage of Consultative Conference Calls</t>
  </si>
  <si>
    <t>Total</t>
  </si>
  <si>
    <t>kbps</t>
  </si>
  <si>
    <t>skill group(s)</t>
  </si>
  <si>
    <t>Comments</t>
  </si>
  <si>
    <t>Units</t>
  </si>
  <si>
    <t>variable(s)</t>
  </si>
  <si>
    <t>char(s)</t>
  </si>
  <si>
    <t>Call Scenarios</t>
  </si>
  <si>
    <t>Incoming Straight Call - All Messages</t>
  </si>
  <si>
    <t>Outgoing Straight Call - All Messages</t>
  </si>
  <si>
    <t>Consultative Transfer - All Messages</t>
  </si>
  <si>
    <t>Consultative Conference - All Messages</t>
  </si>
  <si>
    <t>Number of Configured ECC variables</t>
  </si>
  <si>
    <t>Call Profile</t>
  </si>
  <si>
    <t>ECC Variables</t>
  </si>
  <si>
    <t>Call Variables</t>
  </si>
  <si>
    <t>agent(s)</t>
  </si>
  <si>
    <t>second(s)</t>
  </si>
  <si>
    <t>stat(s)</t>
  </si>
  <si>
    <t>Consultative Transfer Bandwidth</t>
  </si>
  <si>
    <t>Consultative Conference Bandwidth</t>
  </si>
  <si>
    <t>Straight Call Bandwidth (Incoming &amp; Outgoing)</t>
  </si>
  <si>
    <t>6 default; 91 maximum</t>
  </si>
  <si>
    <t>Number of Supervisors</t>
  </si>
  <si>
    <t>supervisor(s)</t>
  </si>
  <si>
    <t>session(s)</t>
  </si>
  <si>
    <t>2 maximum supported</t>
  </si>
  <si>
    <t>Typically 10% of desktops</t>
  </si>
  <si>
    <t>percent</t>
  </si>
  <si>
    <t>85% Straight Calls Typical</t>
  </si>
  <si>
    <t>10% Transfer Calls Typical</t>
  </si>
  <si>
    <t>5% Conference Calls Typical</t>
  </si>
  <si>
    <t>Call Distribution</t>
  </si>
  <si>
    <t>Adjust Call Distribution to equal 100%</t>
  </si>
  <si>
    <t>10 second default</t>
  </si>
  <si>
    <t>Additional Bytes / Variable</t>
  </si>
  <si>
    <t>Average Call Duration</t>
  </si>
  <si>
    <t>Calls/Second</t>
  </si>
  <si>
    <t>Default is per-call; If agent stats are updated on a per-call basis, make sure this number is equal to the Call Profile "Average Call Duration" above.</t>
  </si>
  <si>
    <t>Customer Site Information</t>
  </si>
  <si>
    <t>0 Default</t>
  </si>
  <si>
    <t>Sum of all ECC Variable Names</t>
  </si>
  <si>
    <t>5 Default</t>
  </si>
  <si>
    <t>Count characters of all configured ECC variable names</t>
  </si>
  <si>
    <t>Equal to ((Number of Agents) / (Average Call Duration))</t>
  </si>
  <si>
    <t>Maximum length is 2k chars</t>
  </si>
  <si>
    <t>BHCA</t>
  </si>
  <si>
    <t>calls/hour</t>
  </si>
  <si>
    <t>Agent Call Wrap-Up Time</t>
  </si>
  <si>
    <t>Calls Per Second</t>
  </si>
  <si>
    <t>Sum of all ECC Variable Values</t>
  </si>
  <si>
    <t>Sum of all Call Variable Values</t>
  </si>
  <si>
    <t xml:space="preserve">Bandwidth Requirement </t>
  </si>
  <si>
    <t>Bandwidth Confidence Factor</t>
  </si>
  <si>
    <t>Agent Bandwidth Total</t>
  </si>
  <si>
    <t>Supervisor Bandwidth Total</t>
  </si>
  <si>
    <t>Total Bandwidth</t>
  </si>
  <si>
    <t>Notes:</t>
  </si>
  <si>
    <t>Directions:</t>
  </si>
  <si>
    <t>17 default; 166 maximum</t>
  </si>
  <si>
    <t>Typically 30 calls per hour per agent</t>
  </si>
  <si>
    <t>0 &lt;= "Sum of all Call Variable Values" &lt;= 400
Maximum length is 40 chars per variable</t>
  </si>
  <si>
    <t>(N/A for Finesse) Number of All Agents Monitors</t>
  </si>
  <si>
    <t>(N/A for Finesse) Percentage of Single Step Transfer Calls</t>
  </si>
  <si>
    <t>Finesse Bandwidth Calculator</t>
  </si>
  <si>
    <t xml:space="preserve">(N/A for Finesse) Number of Skill Group Statistics </t>
  </si>
  <si>
    <t>(N/A for Finesse) Skill Group Update Interval</t>
  </si>
  <si>
    <t>(N/A for Finesse) Number of Agent Statistics</t>
  </si>
  <si>
    <t>(N/A for Finesse) Agent Statistics Update Interval</t>
  </si>
  <si>
    <t>(N/A for Finesse) Skill Groups</t>
  </si>
  <si>
    <t xml:space="preserve"> (N/A for Finesse) Agent Statistics</t>
  </si>
  <si>
    <t xml:space="preserve">Bandwidth Requirements </t>
  </si>
  <si>
    <t>Average number of agents per Team</t>
  </si>
  <si>
    <t>Supervisor Queue Gadget Bandwidth</t>
  </si>
  <si>
    <t>(N/A for Finesse) Average number of Skill Groups per Agent</t>
  </si>
  <si>
    <t>Team Performance Gadget Bandwidth</t>
  </si>
  <si>
    <t>Bytes per Call for Supervisor Silent Monitoring</t>
  </si>
  <si>
    <t>Bytes per Agent State Change in Team Performance Gadget</t>
  </si>
  <si>
    <t>Queue Gadget</t>
  </si>
  <si>
    <t>Finesse Bandwidth Measurements</t>
  </si>
  <si>
    <t>Average Bytes / Queue</t>
  </si>
  <si>
    <t>Additional Overhead for Wrap-Up - All Message</t>
  </si>
  <si>
    <t>Wrap-Up Bandwidth</t>
  </si>
  <si>
    <t>Avg Bandwidth Per Agent</t>
  </si>
  <si>
    <t>Avg Bandwidth Per Supervisor</t>
  </si>
  <si>
    <t>Avg_Agent_State_Changes_Per_Call_NoWrap</t>
  </si>
  <si>
    <t>Avg_Agent_State_Changes_Per_Call_Wrap</t>
  </si>
  <si>
    <t>Skill_Group_Refresh_Rate</t>
  </si>
  <si>
    <t>Key</t>
  </si>
  <si>
    <t>Avg_Number_Dialog_Events_Per_IncomingCall</t>
  </si>
  <si>
    <t>Avg_Number_Dialog_Events_Per_ConfCall</t>
  </si>
  <si>
    <t>Avg_Number_Dialog_Events_Per_OutCall</t>
  </si>
  <si>
    <t>Avg_Number_Dialog_Events_Per_XferCall</t>
  </si>
  <si>
    <t>Number_of_Call_Variables</t>
  </si>
  <si>
    <t>Call Variable Incoming Calls Bandwidth</t>
  </si>
  <si>
    <t>Call Variable Outgoing Calls Bandwidth</t>
  </si>
  <si>
    <t>Call Variable Conference Calls Bandwidth</t>
  </si>
  <si>
    <t>Call Variable Transfer Calls Bandwidth</t>
  </si>
  <si>
    <t>ECC Variable Incoming Calls Bandwidth</t>
  </si>
  <si>
    <t>ECC Variable Conference Calls Bandwidth</t>
  </si>
  <si>
    <t>ECC Variable Transfer Calls Bandwidth</t>
  </si>
  <si>
    <t>Percentage of Calls that are silently monitored</t>
  </si>
  <si>
    <t>Silent Monitor Bandwidth</t>
  </si>
  <si>
    <t>Supervisor</t>
  </si>
  <si>
    <t>Agent</t>
  </si>
  <si>
    <t>ECC Variable Outgoing Calls Bandwidth</t>
  </si>
  <si>
    <t>0 Default, 50 skill groups maximum</t>
  </si>
  <si>
    <t>0 Default, 50 agents per team maximum</t>
  </si>
  <si>
    <t>Login</t>
  </si>
  <si>
    <t>Agent Login - No Caching</t>
  </si>
  <si>
    <t>Agent Login - Caching</t>
  </si>
  <si>
    <t>Supervisor Login - No Caching</t>
  </si>
  <si>
    <t>Supervisor Login - Caching</t>
  </si>
  <si>
    <t>minute(s)</t>
  </si>
  <si>
    <t>Maximum Login Time for all users</t>
  </si>
  <si>
    <t>Agent Login Bandwidth - No Caching</t>
  </si>
  <si>
    <t>Agent Login Bandwidth - Caching</t>
  </si>
  <si>
    <t>Supervisor Login Bandwidth - No Caching</t>
  </si>
  <si>
    <t>Supervisor Login Bandwidth - Caching</t>
  </si>
  <si>
    <t>Total Bandwidth - Caching</t>
  </si>
  <si>
    <t>Total Bandwidth - No Caching</t>
  </si>
  <si>
    <t>1. The calculator is based on empirical measurements of network traffic during load testing as well as simple functional tests.  In some cases, the bandwidth requirements do not always increase linearly when the contact center is scaled.  As a result, the best approximation of bandwidth has been used.</t>
  </si>
  <si>
    <t>Bytes</t>
  </si>
  <si>
    <t>Message Overhead</t>
  </si>
  <si>
    <r>
      <t>DISCLAIMER</t>
    </r>
    <r>
      <rPr>
        <sz val="10"/>
        <color indexed="10"/>
        <rFont val="Arial"/>
        <family val="2"/>
      </rPr>
      <t>: This calculator is intended to provide a general understanding of Finesse bandwidth requirements and is provided as-is.  
Cisco makes no warrantee about the accuracy of the results.  This calculator is based on data collected from the Out-of-the-box Finesse Desktop.  It does not include the bandwidth required for 3rd party gadgets or any voice traffic or bandwidth associated with recording and monitoring.  These formulas do not include latency or jitter</t>
    </r>
  </si>
  <si>
    <t>9.0
Client to Server</t>
  </si>
  <si>
    <t>9.1
Client to Server</t>
  </si>
  <si>
    <t>9.1
Server to CTI</t>
  </si>
  <si>
    <t>Single Step Transfer</t>
  </si>
  <si>
    <t>Barge</t>
  </si>
  <si>
    <t>Intercept</t>
  </si>
  <si>
    <t>Client to Finesse Server Login Bandwidth</t>
  </si>
  <si>
    <t>Barge Bandwidth</t>
  </si>
  <si>
    <t>Intercept Bandwidth</t>
  </si>
  <si>
    <t>N/A</t>
  </si>
  <si>
    <t>0 Default.  Max of 10.</t>
  </si>
  <si>
    <t>Number of Configured Call Variables</t>
  </si>
  <si>
    <t>Percentage of Calls that are barged in on</t>
  </si>
  <si>
    <t>Percentage of Calls that are intercepted</t>
  </si>
  <si>
    <t>Percentage of Single-Step Transfer Calls</t>
  </si>
  <si>
    <t>Bytes_Per_Call_Variable_Value</t>
  </si>
  <si>
    <t>This will be less than or equal to the number of silent monitor calls</t>
  </si>
  <si>
    <t>This will be less than or equal to the number of Barged Calls</t>
  </si>
  <si>
    <t>Single Step Transfer Bandwidth</t>
  </si>
  <si>
    <t>400 maximum</t>
  </si>
  <si>
    <t>The total amount of time it should take for all agents to log into the Finesse server including Finesse failover conditions.  If the deployment includes 300 agents and this value is set to 5 minutes, all 300 agents should be able to point their browser to Finesse and complete the login sequence within 5 minutes.</t>
  </si>
  <si>
    <t>CCX Configuration Information</t>
  </si>
  <si>
    <t>Number of configured skill groups</t>
  </si>
  <si>
    <t>Average number of CSQ's per Supervisor</t>
  </si>
  <si>
    <t xml:space="preserve">                                NA</t>
  </si>
  <si>
    <t>Value
(Non-SSO)</t>
  </si>
  <si>
    <t>NA</t>
  </si>
  <si>
    <t>Agent Login to Chat - No Caching</t>
  </si>
  <si>
    <t>Agent Login to Chat - Caching</t>
  </si>
  <si>
    <t>Chat Scenarios</t>
  </si>
  <si>
    <t>Agent Chat Bandwidth</t>
  </si>
  <si>
    <t>The total amount of time it should take for all agents to log into the Chat server.  If the deployment includes 300 agents and this value is set to 5 minutes.</t>
  </si>
  <si>
    <t>Total no of Agents on Chat</t>
  </si>
  <si>
    <t>Chat Related Parameters</t>
  </si>
  <si>
    <t>Avg. No of Chat Clients an Agent is Logged on</t>
  </si>
  <si>
    <t>Pri</t>
  </si>
  <si>
    <t>Sec</t>
  </si>
  <si>
    <t>55k</t>
  </si>
  <si>
    <t>67K</t>
  </si>
  <si>
    <t xml:space="preserve">To establish a single Chat session </t>
  </si>
  <si>
    <t>Presence and State change for one of the contacts</t>
  </si>
  <si>
    <t>1 MB Attachment transfer to a Chat peer</t>
  </si>
  <si>
    <t xml:space="preserve">included </t>
  </si>
  <si>
    <t>Avg. no of characters per message</t>
  </si>
  <si>
    <t>Maximum Chat server Login Time for all users</t>
  </si>
  <si>
    <t>chat sessions/hour</t>
  </si>
  <si>
    <t>messages/minute</t>
  </si>
  <si>
    <t>Number of new Chats sessions for an Agent/hour</t>
  </si>
  <si>
    <t>transfers/minute</t>
  </si>
  <si>
    <t>Avg. no of 1 MB File Transfers per contact/hour</t>
  </si>
  <si>
    <t>Send or Receive a single character to a Chat peer</t>
  </si>
  <si>
    <t>Measured HTTP Bandwidth for an Agent</t>
  </si>
  <si>
    <t>Post-Login Desktop to Finesse Server  Bandwidth</t>
  </si>
  <si>
    <t>Client to IM&amp;P Server (chat) Login Bandwidth</t>
  </si>
  <si>
    <t>Post-Login Desktop to IM&amp;P Server (chat) Bandwidth</t>
  </si>
  <si>
    <t>Cost to fetch one contact's Presence while Login</t>
  </si>
  <si>
    <t>Idle Bandwidth for an Agent to be Logged on to Chat Service</t>
  </si>
  <si>
    <t>Avg no of State changes per contact/hour</t>
  </si>
  <si>
    <t>Avg. no of contacts in address book per Agent</t>
  </si>
  <si>
    <t>Team Messages Related Parameters</t>
  </si>
  <si>
    <t>Single Team Message size</t>
  </si>
  <si>
    <t>Messages/Hour</t>
  </si>
  <si>
    <t>Avg. Team Messages Bandwidth per Agent</t>
  </si>
  <si>
    <t>Avg. no of messages exchanged(Sent and Received) per Agent /minute</t>
  </si>
  <si>
    <t>6. This tool assumes that all agent login simulataneusly.</t>
  </si>
  <si>
    <t>5. These bandwidth calculations must be applied in addition to the calculation results derived from the bandwidth calculations done by Unified CM for HCS deployment.</t>
  </si>
  <si>
    <t xml:space="preserve">4. For distributed deployments (i.e. not all agents located at the same physical site), the Bandwidth Calculator should be run once for each site to calculate the bandwidth required between each site and it's respective Unified CCX server.  </t>
  </si>
  <si>
    <t xml:space="preserve">3. The calculator is based on per Unified CCX server per site. If one Unified CCX Server has more than one remote site, then the calculator should be run once for each remote site to be evaluated. </t>
  </si>
  <si>
    <t>2.The data in Green/Grey cells are not be modified.  It contains the empirical data collected to model the bandwidth utilization.</t>
  </si>
  <si>
    <t>3. Don’t enter any value if you do not intent to use any component.</t>
  </si>
  <si>
    <t>2. Do not modify any cells that are Green or Grey.</t>
  </si>
  <si>
    <t>Bandwidth Calculator</t>
  </si>
  <si>
    <t>Correction Factor</t>
  </si>
  <si>
    <t>Total number of FIPPA Agents</t>
  </si>
  <si>
    <t>numbers</t>
  </si>
  <si>
    <t>Remarks</t>
  </si>
  <si>
    <t>Value</t>
  </si>
  <si>
    <t>Info</t>
  </si>
  <si>
    <t>FIPPA Flow</t>
  </si>
  <si>
    <t>Finesse IPPA</t>
  </si>
  <si>
    <t>LD_report_number_of_rows</t>
  </si>
  <si>
    <t>number_of_LD_reports</t>
  </si>
  <si>
    <t>number_of_gauge_reports</t>
  </si>
  <si>
    <t>number_of_chart_reports</t>
  </si>
  <si>
    <t>realtime_reports_number_of_rows</t>
  </si>
  <si>
    <t>number_of_realtime_reports</t>
  </si>
  <si>
    <t>in hours</t>
  </si>
  <si>
    <t>number_of_execution_duration</t>
  </si>
  <si>
    <t>refresh_rate</t>
  </si>
  <si>
    <t>historical_reports_number_of_columns</t>
  </si>
  <si>
    <t>historical_reports_number_of_rows</t>
  </si>
  <si>
    <t>number_of_historical_reports</t>
  </si>
  <si>
    <t>CUIC Reporting Flow</t>
  </si>
  <si>
    <t>Historical Reporting</t>
  </si>
  <si>
    <t>Total number REST API requests per call - 0 if no edbs used</t>
  </si>
  <si>
    <t>in numbers</t>
  </si>
  <si>
    <t>number_of_rest_transaction_per_call</t>
  </si>
  <si>
    <t>in Bytes</t>
  </si>
  <si>
    <t>rest_transaction_data_size_outgoing</t>
  </si>
  <si>
    <t>rest_transaction_data_size_incoming</t>
  </si>
  <si>
    <t>in percentage</t>
  </si>
  <si>
    <t>outbound_percentage</t>
  </si>
  <si>
    <t>Number of agents who handle application that has REST API call</t>
  </si>
  <si>
    <t>number_of_agents</t>
  </si>
  <si>
    <t>REST Flow</t>
  </si>
  <si>
    <t>External System Interaction : REST API based</t>
  </si>
  <si>
    <t>Total number edbs requests per call - 0 if no edbs used</t>
  </si>
  <si>
    <t>number_of_edbs_transaction_per_call</t>
  </si>
  <si>
    <t>edbs_transaction_data_size_outgoing</t>
  </si>
  <si>
    <t>edbs_transaction_data_size_incoming</t>
  </si>
  <si>
    <t>Percentage of call that are outbound</t>
  </si>
  <si>
    <t>Number of agents who handle application that has edbs steps (DBGet, DBRead, etc)</t>
  </si>
  <si>
    <t>EDBS Flow</t>
  </si>
  <si>
    <t>External System Interaction : EDBS - JDBC based</t>
  </si>
  <si>
    <t>Approximate average chat message size per chat</t>
  </si>
  <si>
    <t>in chars</t>
  </si>
  <si>
    <t>avg_message_size_per_chat</t>
  </si>
  <si>
    <t>Approximate number of messages per chat</t>
  </si>
  <si>
    <t>total_message_count_per_chat</t>
  </si>
  <si>
    <t>Amount of group chat percentage from total chat</t>
  </si>
  <si>
    <t>group_chat_percentage</t>
  </si>
  <si>
    <t>Total number of chats per hour</t>
  </si>
  <si>
    <t>total_chats_per_hour</t>
  </si>
  <si>
    <t>Chat Flow</t>
  </si>
  <si>
    <t>Agent Desktop - SocialMiner</t>
  </si>
  <si>
    <t>Chat</t>
  </si>
  <si>
    <t>Maximum number of emails per agent (must be lessthan or equal to 5)</t>
  </si>
  <si>
    <t>max_emails_per_agent</t>
  </si>
  <si>
    <t>Number of email agents</t>
  </si>
  <si>
    <t>number_of_email_agents</t>
  </si>
  <si>
    <t>avg handled time</t>
  </si>
  <si>
    <t>in minutes</t>
  </si>
  <si>
    <t>sla</t>
  </si>
  <si>
    <t>Incoming email rate (incoming requeue) per hour</t>
  </si>
  <si>
    <t>total_emails_per_hour_incoming</t>
  </si>
  <si>
    <t>percentage of the email that have attachments</t>
  </si>
  <si>
    <t>attachment_percent</t>
  </si>
  <si>
    <t>Approx attachment size - incoming and outgoing</t>
  </si>
  <si>
    <t>KB</t>
  </si>
  <si>
    <t>attachment_size</t>
  </si>
  <si>
    <t>Approx size of the single email</t>
  </si>
  <si>
    <t>email_size</t>
  </si>
  <si>
    <t>Email Flow</t>
  </si>
  <si>
    <t>Mail Server - SocialMiner</t>
  </si>
  <si>
    <t>Email</t>
  </si>
  <si>
    <t>choose yes, if Supervisor accesses this reports in finesse desktop, otherwise no.</t>
  </si>
  <si>
    <t>yes or no</t>
  </si>
  <si>
    <t>yes</t>
  </si>
  <si>
    <t>Voice CSQ Summary Report</t>
  </si>
  <si>
    <t>Voice CSQ Agent Detail Report</t>
  </si>
  <si>
    <t>no</t>
  </si>
  <si>
    <t>Team Summary Report</t>
  </si>
  <si>
    <t>Team State Report</t>
  </si>
  <si>
    <t>Email CSQ Summary Report</t>
  </si>
  <si>
    <t>Email Agent Statistics Report</t>
  </si>
  <si>
    <t>Chat CSQ Summary Report</t>
  </si>
  <si>
    <t>Chat Agent Statistics Report</t>
  </si>
  <si>
    <t>Agent Outbound Team Summary Report</t>
  </si>
  <si>
    <t>Supervisor Reports Name</t>
  </si>
  <si>
    <t>choose yes, if Agent uses this reports in finesse desktop, otherwise no.</t>
  </si>
  <si>
    <t>Agent CSQ Statistics Report</t>
  </si>
  <si>
    <t>Agent Statistics Report</t>
  </si>
  <si>
    <t>Agent Team Summary report</t>
  </si>
  <si>
    <t>Recent Call history</t>
  </si>
  <si>
    <t>Recent State history</t>
  </si>
  <si>
    <t>Agent Reports Name</t>
  </si>
  <si>
    <t>After Initial Load</t>
  </si>
  <si>
    <t>Initial Report Load - One Time</t>
  </si>
  <si>
    <t>Agent Desktop Live Data Report</t>
  </si>
  <si>
    <t>Unified CCX Configuration Information</t>
  </si>
  <si>
    <t>Agent Desktop Usage</t>
  </si>
  <si>
    <t>Caching</t>
  </si>
  <si>
    <t>No Caching</t>
  </si>
  <si>
    <t xml:space="preserve">Agent Desktop Login </t>
  </si>
  <si>
    <t>Unified CCX to External Systems (EDBS, REST APIs, etc.)</t>
  </si>
  <si>
    <t>Web Clients (Agent, Supervisor) to Unified CCX</t>
  </si>
  <si>
    <t>total_bw_for_supervisor_including_report_load</t>
  </si>
  <si>
    <t>total_bw_for_agent_including_report_load</t>
  </si>
  <si>
    <t>total_bw_for_initialload</t>
  </si>
  <si>
    <t>total_bw_for_LD_initialload_for_supervisor</t>
  </si>
  <si>
    <t>total_bw_for_LD_initialload_for_agent</t>
  </si>
  <si>
    <t>total_bw_for_LD_after_initialload</t>
  </si>
  <si>
    <t>total_bw_for_supervisor</t>
  </si>
  <si>
    <t>total_bw_for_agent</t>
  </si>
  <si>
    <t>Bandwidth</t>
  </si>
  <si>
    <t xml:space="preserve"> (no of supervisor reports * single_LD_report_initial_overload) </t>
  </si>
  <si>
    <t>bw_for_single_supervisor_initial_report_load</t>
  </si>
  <si>
    <t>Time</t>
  </si>
  <si>
    <t xml:space="preserve"> (no of agent reports * single_LD_report_initial_overload) </t>
  </si>
  <si>
    <t>bw_for_single_agent_initial_report_load</t>
  </si>
  <si>
    <t>KBps -  sum of supervisor reports bw ) * correctness - buffer for over provisioning</t>
  </si>
  <si>
    <t>bw_for_single_supervisor</t>
  </si>
  <si>
    <t>KBps - sum of agents reports bw * correctness - buffer for over provisioning</t>
  </si>
  <si>
    <t>bw_for_single_agent</t>
  </si>
  <si>
    <t>Event</t>
  </si>
  <si>
    <t>confident factor to calculate bw</t>
  </si>
  <si>
    <t>correctness - buffer for over provisioning</t>
  </si>
  <si>
    <t xml:space="preserve">kb </t>
  </si>
  <si>
    <t>polling_overhead_per_sec</t>
  </si>
  <si>
    <t>seconds</t>
  </si>
  <si>
    <t>duartion_in_sec</t>
  </si>
  <si>
    <t>KB - per second</t>
  </si>
  <si>
    <t>single_LD_report_initial_overload</t>
  </si>
  <si>
    <t>time_based_LD_overhead_for_agent</t>
  </si>
  <si>
    <t>time_based_LD_overhead_for_supervisor</t>
  </si>
  <si>
    <t>Supervisor Reports</t>
  </si>
  <si>
    <t>event_based_LD_overhead_for_agent</t>
  </si>
  <si>
    <t>event_based_LD_overhead_for_supervisor</t>
  </si>
  <si>
    <t>value</t>
  </si>
  <si>
    <t>Finesse LD Report Multipliers</t>
  </si>
  <si>
    <t>number of supervisiors</t>
  </si>
  <si>
    <t>number of agents</t>
  </si>
  <si>
    <t>bw(KBps)</t>
  </si>
  <si>
    <t>Ideal row update</t>
  </si>
  <si>
    <t>Possible max no of rows</t>
  </si>
  <si>
    <t>Refreh type</t>
  </si>
  <si>
    <t>Agent Reports</t>
  </si>
  <si>
    <t>Live Date Report in Finesse</t>
  </si>
  <si>
    <t>To be updated by Cisco</t>
  </si>
  <si>
    <t>exchange_attachment_email_bandwidth*attachment_emails_per_hour_outgoing</t>
  </si>
  <si>
    <t>attachment Email - outgoing</t>
  </si>
  <si>
    <t>exchange_basic_email_bandwidth*basic_emails_per_hour_outgoing</t>
  </si>
  <si>
    <t>basic_email_outgoing</t>
  </si>
  <si>
    <t>exchange_attachment_email_bandwidth*attachment_emails_per_hour</t>
  </si>
  <si>
    <t>attachment_email - incoming</t>
  </si>
  <si>
    <t>exchange_basic_email_bandwidth*basic_emails_per_hour</t>
  </si>
  <si>
    <t>basic_email - incoming</t>
  </si>
  <si>
    <t>Bandwidth (kB)</t>
  </si>
  <si>
    <t>Flow</t>
  </si>
  <si>
    <t>Total Bandwidth -  SocialMiner -Exchange</t>
  </si>
  <si>
    <t>desktop_attachment_email_bandwidthh * attachment_emails_per_hour_outgoing</t>
  </si>
  <si>
    <t>desktop_basic_email_bandwidth * basic_emails_per_hour_outgoing</t>
  </si>
  <si>
    <t>basic email - outgoing</t>
  </si>
  <si>
    <t>desktop_attachment_email_bandwidthh * attachment_emails_per_hour_incoming</t>
  </si>
  <si>
    <t>attachment Email - incoming</t>
  </si>
  <si>
    <t>desktop_basic_email_bandwidth * basic_emails_per_hour_incoming</t>
  </si>
  <si>
    <t>basic Email - incoming</t>
  </si>
  <si>
    <t>Total Bandwidth - SM - Desktop</t>
  </si>
  <si>
    <t xml:space="preserve"> per email</t>
  </si>
  <si>
    <t>exchange_attachment_email_bandwidth</t>
  </si>
  <si>
    <t>exchange_basic_email_bandwidth</t>
  </si>
  <si>
    <t>inbound_attachments_download</t>
  </si>
  <si>
    <t>send_reply_with_attachments</t>
  </si>
  <si>
    <t>send_reply</t>
  </si>
  <si>
    <t>save_draft</t>
  </si>
  <si>
    <t>get_email_body</t>
  </si>
  <si>
    <t>fetch_with_attachments</t>
  </si>
  <si>
    <t>fetch</t>
  </si>
  <si>
    <t>Value(kB)</t>
  </si>
  <si>
    <t>Operation</t>
  </si>
  <si>
    <t>Email BW Data - SocialMiner and Exchange</t>
  </si>
  <si>
    <t>desktop_attachment_email_bandwidth</t>
  </si>
  <si>
    <t>desktop_basic_email_bandwidth</t>
  </si>
  <si>
    <t>send_reply_with_attachment</t>
  </si>
  <si>
    <t>ui_libraries</t>
  </si>
  <si>
    <t>inbound_attachments_download_multiplier</t>
  </si>
  <si>
    <t>send_reply_with_attachments_multiplier</t>
  </si>
  <si>
    <t>send_reply_with_attachments_exchange_multiplier</t>
  </si>
  <si>
    <t>outbound_attachments_download_exchange_multiplier</t>
  </si>
  <si>
    <t>outbound_attachments_upload_exchange_multiplier</t>
  </si>
  <si>
    <t>inbound_attachments_download_exchange_multiplier</t>
  </si>
  <si>
    <t>fetch_with_attachments_exchange_multiplier</t>
  </si>
  <si>
    <t>send_reply_exchange_multiplier</t>
  </si>
  <si>
    <t>get_email_body_exchange_multiplier</t>
  </si>
  <si>
    <t>fetch_exchange_multiplier</t>
  </si>
  <si>
    <t>Waitage/Values</t>
  </si>
  <si>
    <t>Exchange Multipliers</t>
  </si>
  <si>
    <t>total_emails_per_hour_outgoing- attachment_emails_per_hour_outgoing</t>
  </si>
  <si>
    <t>basic_emails_per_hour_outgoing</t>
  </si>
  <si>
    <t>total_emails_per_hour_outgoing *  (attachment_percent / 100)</t>
  </si>
  <si>
    <t>attachment_emails_per_hour_outgoing</t>
  </si>
  <si>
    <t>outgoing rate :  (number_of_agents * max_emails_per_agent )</t>
  </si>
  <si>
    <t>total_emails_per_hour_outgoing</t>
  </si>
  <si>
    <t>must be lessthan or equal to 5</t>
  </si>
  <si>
    <t>total_emails_per_hour_incoming - attachment_emails_per_hour_incoming</t>
  </si>
  <si>
    <t>basic_emails_per_hour_incoming</t>
  </si>
  <si>
    <t>total_emails_per_hour_incoming * (attachment_percent / 100)</t>
  </si>
  <si>
    <t>attachment_emails_per_hour_incoming</t>
  </si>
  <si>
    <t>save_draft_interval</t>
  </si>
  <si>
    <t>in minutes (avg handled time)</t>
  </si>
  <si>
    <t>incoming rate (incoming requeue)</t>
  </si>
  <si>
    <t>attachment_email_size</t>
  </si>
  <si>
    <t>kb - ( customer_chat_inject + customer_ui_libraries + ((single_chat_message_size + typing_overhead_per_message) * total_message_count_per_chat) + customer_transscript</t>
  </si>
  <si>
    <t>cost_of_end_user_chat_per_chat</t>
  </si>
  <si>
    <t>Bandwidth (kb)</t>
  </si>
  <si>
    <t>Total Bandwidth - SocialMiner and Internet</t>
  </si>
  <si>
    <t>(cost_of_chat * basic_chat_per_hour ) + (cost_of_grp_chat * group_chat_per_hour )</t>
  </si>
  <si>
    <t>agent_chat_bandwidth_per_hour</t>
  </si>
  <si>
    <t>Total Bandwidth - SocialMiner and Desktop</t>
  </si>
  <si>
    <t xml:space="preserve">kb - [ customer_chat_inject + ((single_chat_message_size + typing_overhead_per_message) * (total_message_count_per_chat / 2)) + (single_chat_message_size * (total_message_count_per_chat / 2)) ]
NOTES:
1. There is no cost of typing_overhead_per_message for chat messages from customer to contact center.
2. The above formula assumes 50% of total_message_count_per_chat is from customer.
3. There is no cost of customer_ui_libraries
4. There is no cost of customer_transscript
</t>
  </si>
  <si>
    <t>cost_of_end_user_chat_per_fbm_chat</t>
  </si>
  <si>
    <t>kb - (cost_of_fbm_chat+ total_group_chat_overhead)</t>
  </si>
  <si>
    <t>cost_of_fbm_grp_chat</t>
  </si>
  <si>
    <t xml:space="preserve">kb - [ui_libraries + ((single_chat_message_size + typing_overhead_per_message + chat_message_overhead) * (total_message_count_per_chat / 2)) + ((single_chat_message_size + chat_message_overhead) * (total_message_count_per_chat / 2))]
NOTES:
1. There is no cost of typing_overhead_per_message for chat messages from customer to contact center.
2. The above formula assumes 50% of total_message_count_per_chat is from customer.
</t>
  </si>
  <si>
    <t>cost_of_fbm_chat</t>
  </si>
  <si>
    <t>kb - (cost_of_chat+ total_group_chat_overhead )</t>
  </si>
  <si>
    <t>cost_of_grp_chat</t>
  </si>
  <si>
    <t>kb - (ui_libraries + ((single_chat_message_size + typing_overhead_per_message + chat_message_overhead ) * total_message_count_per_chat )</t>
  </si>
  <si>
    <t>cost_of_chat</t>
  </si>
  <si>
    <t>kb</t>
  </si>
  <si>
    <t>customer_transscript</t>
  </si>
  <si>
    <t>typing_overhead_per_message</t>
  </si>
  <si>
    <t>customer_chat_inject</t>
  </si>
  <si>
    <t>total_group_chat_overhead</t>
  </si>
  <si>
    <t>group_chat_message_overhead</t>
  </si>
  <si>
    <t>single_chat_message_size</t>
  </si>
  <si>
    <t>chat_message_overhead</t>
  </si>
  <si>
    <t>customer_ui_libraries</t>
  </si>
  <si>
    <t>Chat Constants</t>
  </si>
  <si>
    <t>basic_chat_per_hour</t>
  </si>
  <si>
    <t>group_chat_per_hour</t>
  </si>
  <si>
    <t>kbits</t>
  </si>
  <si>
    <t>edbs_bandwidth_per_hour_outgoing</t>
  </si>
  <si>
    <t xml:space="preserve">edbs_bandwidth_per_hour_incoming </t>
  </si>
  <si>
    <t xml:space="preserve"> number_of_edbs_transaction_per_call * (edbs_transaction_data_size_outgoing+script_to_edbs_overhead)</t>
  </si>
  <si>
    <t>cost_of_edbs_per_call_outgoing</t>
  </si>
  <si>
    <t>number_of_edbs_transaction_per_call * (edbs_transaction_data_size_incoming+script_to_edbs_overhead)</t>
  </si>
  <si>
    <t>cost_of_edbs_per_call_incoming</t>
  </si>
  <si>
    <t>Assuming that 300 Bytes is query overhead for both incoming and outgoing</t>
  </si>
  <si>
    <t>script_to_edbs_overhead</t>
  </si>
  <si>
    <t>Value(bits)</t>
  </si>
  <si>
    <t>EDBS Constants</t>
  </si>
  <si>
    <t>in numbers :: (total_calls_per_hour - total_outgoing_calls)</t>
  </si>
  <si>
    <t>total_incoming_calls</t>
  </si>
  <si>
    <t>in numbers :: total_calls_per_hour * (outbound_percentage/100)</t>
  </si>
  <si>
    <t>total_outgoing_calls</t>
  </si>
  <si>
    <t>total_calls_per_hour</t>
  </si>
  <si>
    <t>in numbers calculated based on BHCA</t>
  </si>
  <si>
    <t>calls_per_agent_per_hour</t>
  </si>
  <si>
    <t xml:space="preserve">rest_bandwidth_per_hour_outgoing </t>
  </si>
  <si>
    <t xml:space="preserve">rest_bandwidth_per_hour_incoming </t>
  </si>
  <si>
    <t>number_of_rest_transaction_per_call * (rest_transaction_data_size_outgoing+script_to_rest_overhead)</t>
  </si>
  <si>
    <t>cost_of_rest_per_call_outgoing</t>
  </si>
  <si>
    <t>number_of_rest_transaction_per_call * (rest_transaction_data_size_incoming+script_to_rest_overhead)</t>
  </si>
  <si>
    <t>cost_of_rest_per_call_incoming</t>
  </si>
  <si>
    <t>Asuuming that 512 bytes is query overy head for incoming and outgoing</t>
  </si>
  <si>
    <t>script_to_rest_overhead</t>
  </si>
  <si>
    <t>Value (bits)</t>
  </si>
  <si>
    <t>REST Constants</t>
  </si>
  <si>
    <t>refresh cycle</t>
  </si>
  <si>
    <t>data/interval</t>
  </si>
  <si>
    <t>data</t>
  </si>
  <si>
    <t>LD Reports</t>
  </si>
  <si>
    <t>RealTime Gauge Reports</t>
  </si>
  <si>
    <t>RealTime Chart Reports</t>
  </si>
  <si>
    <t>RealTime Grid Reports</t>
  </si>
  <si>
    <t>Historical Grid Reports</t>
  </si>
  <si>
    <t>Browser to CUIC Server(KB/s)</t>
  </si>
  <si>
    <t>BW</t>
  </si>
  <si>
    <t>Live Data 100 rows 10 Columns</t>
  </si>
  <si>
    <t>Client-CUIC+LD Bandwidth</t>
  </si>
  <si>
    <t>Live Data Report Execution</t>
  </si>
  <si>
    <t>RT Gauge 3000 Rows 20 Columns</t>
  </si>
  <si>
    <t>RT Chart 3000 Rows 20 Columns</t>
  </si>
  <si>
    <t>RT Grid 3000 Rows  20 Columns</t>
  </si>
  <si>
    <t>HT Grid 8000 Rows 20 Columns</t>
  </si>
  <si>
    <t>Response : Receiving time (in ms)</t>
  </si>
  <si>
    <t>Response: Waiting time (in ms)</t>
  </si>
  <si>
    <t>Size of received dataset (in KB)</t>
  </si>
  <si>
    <t>Client - Server Communication</t>
  </si>
  <si>
    <t>Case</t>
  </si>
  <si>
    <t>number_of_rows</t>
  </si>
  <si>
    <t>number_of_rows_realtime_reports</t>
  </si>
  <si>
    <t>number_of_execution_duration_historical_reports</t>
  </si>
  <si>
    <t>refresh_rate_historical_reports</t>
  </si>
  <si>
    <t>number_of_columns_historical_reports</t>
  </si>
  <si>
    <t>number_of_rows_historical_reports</t>
  </si>
  <si>
    <t>Detail</t>
  </si>
  <si>
    <t>Historical Report Flow (Reports, Permalinks, Schedulers)</t>
  </si>
  <si>
    <t>fippa_qstats_bandwidth</t>
  </si>
  <si>
    <t>bandwidth_per_agent_for_qstats</t>
  </si>
  <si>
    <t>Value(kb)</t>
  </si>
  <si>
    <t xml:space="preserve">Finesse IPPA </t>
  </si>
  <si>
    <r>
      <t>number_of_agents (</t>
    </r>
    <r>
      <rPr>
        <b/>
        <sz val="10"/>
        <color rgb="FFC00000"/>
        <rFont val="Arial"/>
        <family val="2"/>
      </rPr>
      <t>change this to zero if EDBS is not configured</t>
    </r>
    <r>
      <rPr>
        <sz val="10"/>
        <rFont val="Arial"/>
        <family val="2"/>
      </rPr>
      <t>)</t>
    </r>
  </si>
  <si>
    <r>
      <t>number_of_agents (</t>
    </r>
    <r>
      <rPr>
        <b/>
        <sz val="10"/>
        <color rgb="FFC00000"/>
        <rFont val="Arial"/>
        <family val="2"/>
      </rPr>
      <t>change this to zero if REST API step  is not used</t>
    </r>
    <r>
      <rPr>
        <sz val="10"/>
        <rFont val="Arial"/>
        <family val="2"/>
      </rPr>
      <t xml:space="preserve"> )</t>
    </r>
  </si>
  <si>
    <r>
      <t>email_size (</t>
    </r>
    <r>
      <rPr>
        <b/>
        <sz val="10"/>
        <color rgb="FFC00000"/>
        <rFont val="Arial"/>
        <family val="2"/>
      </rPr>
      <t>change this to zero if email is not configured</t>
    </r>
    <r>
      <rPr>
        <sz val="10"/>
        <rFont val="Arial"/>
        <family val="2"/>
      </rPr>
      <t>)</t>
    </r>
  </si>
  <si>
    <r>
      <t>attachment_size (</t>
    </r>
    <r>
      <rPr>
        <b/>
        <sz val="10"/>
        <color rgb="FFC00000"/>
        <rFont val="Arial"/>
        <family val="2"/>
      </rPr>
      <t>change this to zero if email is not configured</t>
    </r>
    <r>
      <rPr>
        <sz val="10"/>
        <rFont val="Arial"/>
        <family val="2"/>
      </rPr>
      <t>)</t>
    </r>
  </si>
  <si>
    <r>
      <t>total_chats_per_hour (</t>
    </r>
    <r>
      <rPr>
        <b/>
        <sz val="10"/>
        <color rgb="FFC00000"/>
        <rFont val="Arial"/>
        <family val="2"/>
      </rPr>
      <t>change this to zero if chat is not configured</t>
    </r>
    <r>
      <rPr>
        <sz val="10"/>
        <rFont val="Arial"/>
        <family val="2"/>
      </rPr>
      <t>)</t>
    </r>
  </si>
  <si>
    <r>
      <t>number_of_fippa_agents (</t>
    </r>
    <r>
      <rPr>
        <b/>
        <sz val="10"/>
        <color rgb="FFC00000"/>
        <rFont val="Arial"/>
        <family val="2"/>
      </rPr>
      <t>change this to zero if FIPPA is not configured</t>
    </r>
    <r>
      <rPr>
        <sz val="10"/>
        <rFont val="Arial"/>
        <family val="2"/>
      </rPr>
      <t>)</t>
    </r>
  </si>
  <si>
    <r>
      <t>1. Enter the appropriate values in the yellow boxes to characterize the Call Center to be evaluated.
(To disable the feature e.g. email, chat etc, enter zero only in the rows indicated in</t>
    </r>
    <r>
      <rPr>
        <b/>
        <sz val="10"/>
        <rFont val="Arial"/>
        <family val="2"/>
      </rPr>
      <t xml:space="preserve"> </t>
    </r>
    <r>
      <rPr>
        <b/>
        <sz val="10"/>
        <color rgb="FFC00000"/>
        <rFont val="Arial"/>
        <family val="2"/>
      </rPr>
      <t>bold font</t>
    </r>
    <r>
      <rPr>
        <sz val="10"/>
        <rFont val="Arial"/>
        <family val="2"/>
      </rPr>
      <t>)</t>
    </r>
  </si>
  <si>
    <t xml:space="preserve">3. Total Bandwidth, Agent Bandwidth and Supervisor Bandwidth (Non-SSO) requirements are calculated and presented at the bottom of the spreadsheet. </t>
  </si>
  <si>
    <t>Average Number of Phonebook contacts/Agent</t>
  </si>
  <si>
    <t>Average Number of Not Ready Reason codes/Team</t>
  </si>
  <si>
    <t>Average Number of Logout Reason codes/Team</t>
  </si>
  <si>
    <t>Average Number of Wrapup Reasons/Team</t>
  </si>
  <si>
    <t>Average Number of Workflows/Team</t>
  </si>
  <si>
    <t>contact(s)</t>
  </si>
  <si>
    <t>Reason codes(s)</t>
  </si>
  <si>
    <t>Wrapup Reason codes(s)</t>
  </si>
  <si>
    <t>Workflow(s)</t>
  </si>
  <si>
    <t>Assuming contact to take 900 bytes (50% of sum of all tags and max lengths of all fields of contact put together having multi byte characters).</t>
  </si>
  <si>
    <t xml:space="preserve">Assuming the reason code to take 250 bytes (50% of sum of all the tags and  max length of reason code label). </t>
  </si>
  <si>
    <t xml:space="preserve">Assuming the wrapup to take 150 bytes (tags making 125 bytes and 25 bytes for wrapup reason code as maximum length of wrapup reason can only be 40 bytes). </t>
  </si>
  <si>
    <t xml:space="preserve">Assuming the Workflow to take 1600 bytes (tags making 1525 bytes and 75 bytes for Workflow name, action name, description). </t>
  </si>
  <si>
    <t>Phonebook Related Parameters</t>
  </si>
  <si>
    <t>Release 12.5</t>
  </si>
  <si>
    <t>Maximun No of Team Messages/hour</t>
  </si>
  <si>
    <t>Yet to confirm one presense or multiple</t>
  </si>
  <si>
    <t>Avg. no of messages exchaged(Sent and Received) per Agent /minute</t>
  </si>
  <si>
    <t xml:space="preserve">                             NA</t>
  </si>
  <si>
    <t>12.5 - Active-Active Finesse Server to CTI Server</t>
  </si>
  <si>
    <t>12.5 -  SSO
Client to Server</t>
  </si>
  <si>
    <t>12.5 - Non SSO
Client to Server</t>
  </si>
  <si>
    <t>Unified CCX 12.5(1)</t>
  </si>
  <si>
    <t>Unified CCX Bandwidth Calculator 12.5(1)</t>
  </si>
  <si>
    <r>
      <t>DISCLAIMER</t>
    </r>
    <r>
      <rPr>
        <sz val="10"/>
        <color indexed="10"/>
        <rFont val="Arial"/>
        <family val="2"/>
      </rPr>
      <t>: This calculator is intended to provide a general understanding of Unified CCX bandwidth requirements and is provided As-Is.  
Cisco makes no warranty about the accuracy of the results. This calculator is based on data collected from the Out-of-the-box Finesse Desktop. It does not include the bandwidth required for 3rd party gadgets or any voice traffic or bandwidth associated with recording and monitoring or WebEx  Experience Management gadgets. These formulae do not include latency or jitter.</t>
    </r>
  </si>
  <si>
    <t>Email BW Data - Customer Collaboration Platform and Finesse Desktop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</si>
</sst>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2" x14ac:knownFonts="1">
    <font>
      <sz val="10"/>
      <name val="Arial"/>
    </font>
    <font>
      <b/>
      <sz val="10"/>
      <name val="Arial"/>
      <family val="2"/>
    </font>
    <font>
      <sz val="10"/>
      <name val="Arial"/>
      <family val="2"/>
    </font>
    <font>
      <b/>
      <sz val="12"/>
      <name val="Arial"/>
      <family val="2"/>
    </font>
    <font>
      <sz val="12"/>
      <name val="Arial"/>
      <family val="2"/>
    </font>
    <font>
      <b/>
      <sz val="10"/>
      <color indexed="10"/>
      <name val="Arial"/>
      <family val="2"/>
    </font>
    <font>
      <sz val="10"/>
      <color indexed="10"/>
      <name val="Arial"/>
      <family val="2"/>
    </font>
    <font>
      <sz val="10"/>
      <color rgb="FFFF0000"/>
      <name val="Arial"/>
      <family val="2"/>
    </font>
    <font>
      <b/>
      <sz val="10"/>
      <color rgb="FFFF0000"/>
      <name val="Arial"/>
      <family val="2"/>
    </font>
    <font>
      <b/>
      <sz val="14"/>
      <color theme="0"/>
      <name val="Arial"/>
      <family val="2"/>
    </font>
    <font>
      <sz val="10"/>
      <color theme="1"/>
      <name val="Arial"/>
      <family val="2"/>
    </font>
    <font>
      <u/>
      <sz val="10"/>
      <color theme="10"/>
      <name val="Arial"/>
      <family val="2"/>
    </font>
    <font>
      <u/>
      <sz val="10"/>
      <color theme="11"/>
      <name val="Arial"/>
      <family val="2"/>
    </font>
    <font>
      <sz val="10"/>
      <color theme="0" tint="-0.34998626667073579"/>
      <name val="Arial"/>
      <family val="2"/>
    </font>
    <font>
      <sz val="9"/>
      <color indexed="81"/>
      <name val="Tahoma"/>
      <family val="2"/>
    </font>
    <font>
      <b/>
      <sz val="9"/>
      <color indexed="81"/>
      <name val="Tahoma"/>
      <family val="2"/>
    </font>
    <font>
      <sz val="11"/>
      <color rgb="FF006100"/>
      <name val="Calibri"/>
      <family val="2"/>
      <scheme val="minor"/>
    </font>
    <font>
      <b/>
      <sz val="11"/>
      <color theme="1"/>
      <name val="Calibri"/>
      <family val="2"/>
      <scheme val="minor"/>
    </font>
    <font>
      <b/>
      <sz val="12"/>
      <color rgb="FFFFFF00"/>
      <name val="Arial"/>
      <family val="2"/>
    </font>
    <font>
      <b/>
      <sz val="20"/>
      <name val="Arial"/>
      <family val="2"/>
    </font>
    <font>
      <b/>
      <sz val="28"/>
      <name val="Arial"/>
      <family val="2"/>
    </font>
    <font>
      <b/>
      <sz val="10"/>
      <color rgb="FFC00000"/>
      <name val="Arial"/>
      <family val="2"/>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C6EFCE"/>
      </patternFill>
    </fill>
    <fill>
      <patternFill patternType="solid">
        <fgColor rgb="FF00B0F0"/>
        <bgColor indexed="64"/>
      </patternFill>
    </fill>
    <fill>
      <patternFill patternType="solid">
        <fgColor rgb="FFCCFFCC"/>
        <bgColor indexed="64"/>
      </patternFill>
    </fill>
    <fill>
      <patternFill patternType="solid">
        <fgColor theme="4" tint="0.59999389629810485"/>
        <bgColor indexed="64"/>
      </patternFill>
    </fill>
    <fill>
      <patternFill patternType="solid">
        <fgColor rgb="FF00B050"/>
        <bgColor indexed="64"/>
      </patternFill>
    </fill>
    <fill>
      <patternFill patternType="solid">
        <fgColor theme="5" tint="0.39997558519241921"/>
        <bgColor indexed="64"/>
      </patternFill>
    </fill>
    <fill>
      <patternFill patternType="solid">
        <fgColor rgb="FFCCFFCC"/>
        <bgColor rgb="FFCCCCFF"/>
      </patternFill>
    </fill>
    <fill>
      <patternFill patternType="solid">
        <fgColor theme="5" tint="0.39997558519241921"/>
        <bgColor rgb="FFCCCCFF"/>
      </patternFill>
    </fill>
    <fill>
      <patternFill patternType="solid">
        <fgColor theme="3" tint="0.39997558519241921"/>
        <bgColor indexed="64"/>
      </patternFill>
    </fill>
    <fill>
      <patternFill patternType="solid">
        <fgColor rgb="FFE4F50B"/>
        <bgColor rgb="FFCCCCFF"/>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style="thin">
        <color auto="1"/>
      </top>
      <bottom/>
      <diagonal/>
    </border>
    <border>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medium">
        <color indexed="64"/>
      </right>
      <top style="thin">
        <color auto="1"/>
      </top>
      <bottom/>
      <diagonal/>
    </border>
    <border>
      <left/>
      <right style="thin">
        <color indexed="64"/>
      </right>
      <top style="thin">
        <color auto="1"/>
      </top>
      <bottom/>
      <diagonal/>
    </border>
    <border>
      <left/>
      <right style="thin">
        <color auto="1"/>
      </right>
      <top/>
      <bottom/>
      <diagonal/>
    </border>
    <border>
      <left style="thin">
        <color auto="1"/>
      </left>
      <right/>
      <top/>
      <bottom/>
      <diagonal/>
    </border>
  </borders>
  <cellStyleXfs count="12">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6" fillId="9" borderId="0" applyNumberFormat="0" applyBorder="0" applyAlignment="0" applyProtection="0"/>
    <xf numFmtId="43" fontId="2" fillId="0" borderId="0" applyFont="0" applyFill="0" applyBorder="0" applyAlignment="0" applyProtection="0"/>
    <xf numFmtId="0" fontId="2" fillId="0" borderId="0"/>
  </cellStyleXfs>
  <cellXfs count="388">
    <xf numFmtId="0" fontId="0" fillId="0" borderId="0" xfId="0"/>
    <xf numFmtId="0" fontId="1" fillId="0" borderId="0" xfId="0" applyFont="1"/>
    <xf numFmtId="0" fontId="0" fillId="0" borderId="0" xfId="0" applyAlignment="1">
      <alignment horizontal="left" indent="1"/>
    </xf>
    <xf numFmtId="0" fontId="0" fillId="0" borderId="0" xfId="0" applyAlignment="1">
      <alignment horizontal="center"/>
    </xf>
    <xf numFmtId="0" fontId="2" fillId="0" borderId="0" xfId="0" applyFont="1"/>
    <xf numFmtId="0" fontId="0" fillId="2" borderId="1" xfId="0" applyFill="1" applyBorder="1" applyAlignment="1">
      <alignment horizontal="center"/>
    </xf>
    <xf numFmtId="0" fontId="0" fillId="2" borderId="1" xfId="0" applyFill="1" applyBorder="1"/>
    <xf numFmtId="0" fontId="0" fillId="0" borderId="0" xfId="0" applyAlignment="1">
      <alignment wrapText="1"/>
    </xf>
    <xf numFmtId="164" fontId="0" fillId="2" borderId="1" xfId="0" applyNumberFormat="1" applyFill="1" applyBorder="1" applyAlignment="1">
      <alignment horizontal="center"/>
    </xf>
    <xf numFmtId="0" fontId="0" fillId="2" borderId="1"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wrapText="1"/>
    </xf>
    <xf numFmtId="0" fontId="3" fillId="3" borderId="4" xfId="0" applyFont="1" applyFill="1" applyBorder="1" applyAlignment="1">
      <alignment horizontal="left" vertical="top"/>
    </xf>
    <xf numFmtId="0" fontId="1" fillId="3" borderId="5" xfId="0" applyFont="1" applyFill="1" applyBorder="1" applyAlignment="1">
      <alignment horizontal="center" vertical="top"/>
    </xf>
    <xf numFmtId="0" fontId="1" fillId="3" borderId="6" xfId="0" applyFont="1" applyFill="1" applyBorder="1" applyAlignment="1">
      <alignment vertical="top" wrapText="1"/>
    </xf>
    <xf numFmtId="0" fontId="0" fillId="2" borderId="7" xfId="0" applyFill="1" applyBorder="1" applyAlignment="1">
      <alignment vertical="top" wrapText="1"/>
    </xf>
    <xf numFmtId="0" fontId="2" fillId="2" borderId="8" xfId="0" applyFont="1" applyFill="1" applyBorder="1" applyAlignment="1">
      <alignment horizontal="left" vertical="top" indent="1"/>
    </xf>
    <xf numFmtId="0" fontId="2" fillId="2" borderId="9" xfId="0" applyFont="1" applyFill="1" applyBorder="1" applyAlignment="1">
      <alignment horizontal="left" vertical="top" indent="1"/>
    </xf>
    <xf numFmtId="0" fontId="4" fillId="0" borderId="0" xfId="0" applyFont="1"/>
    <xf numFmtId="0" fontId="0" fillId="2" borderId="8" xfId="0" applyFill="1" applyBorder="1" applyAlignment="1">
      <alignment horizontal="left" vertical="top" indent="1"/>
    </xf>
    <xf numFmtId="0" fontId="2" fillId="2" borderId="1" xfId="0" applyFont="1" applyFill="1" applyBorder="1" applyAlignment="1">
      <alignment vertical="top"/>
    </xf>
    <xf numFmtId="0" fontId="2" fillId="2" borderId="2" xfId="0" applyFont="1" applyFill="1" applyBorder="1" applyAlignment="1">
      <alignment vertical="top"/>
    </xf>
    <xf numFmtId="0" fontId="0" fillId="2" borderId="8" xfId="0" applyFill="1" applyBorder="1" applyAlignment="1">
      <alignment horizontal="left" vertical="top" indent="2"/>
    </xf>
    <xf numFmtId="0" fontId="0" fillId="2" borderId="9" xfId="0" applyFill="1" applyBorder="1" applyAlignment="1">
      <alignment horizontal="left" vertical="top" indent="2"/>
    </xf>
    <xf numFmtId="0" fontId="2" fillId="2" borderId="10" xfId="0" applyFont="1" applyFill="1" applyBorder="1" applyAlignment="1">
      <alignment horizontal="left" vertical="top" indent="1"/>
    </xf>
    <xf numFmtId="0" fontId="0" fillId="2" borderId="11" xfId="0" applyFill="1" applyBorder="1" applyAlignment="1">
      <alignment vertical="top"/>
    </xf>
    <xf numFmtId="0" fontId="0" fillId="2" borderId="13" xfId="0" applyFill="1" applyBorder="1" applyAlignment="1">
      <alignment horizontal="left" vertical="top" indent="1"/>
    </xf>
    <xf numFmtId="0" fontId="0" fillId="2" borderId="14" xfId="0" applyFill="1" applyBorder="1" applyAlignment="1">
      <alignment vertical="top"/>
    </xf>
    <xf numFmtId="0" fontId="2" fillId="2" borderId="13" xfId="0" applyFont="1" applyFill="1" applyBorder="1" applyAlignment="1">
      <alignment horizontal="left" vertical="top" indent="1"/>
    </xf>
    <xf numFmtId="0" fontId="0" fillId="2" borderId="15" xfId="0" applyFill="1" applyBorder="1" applyAlignment="1">
      <alignment vertical="top" wrapText="1"/>
    </xf>
    <xf numFmtId="164" fontId="0" fillId="2" borderId="14" xfId="0" applyNumberFormat="1" applyFill="1" applyBorder="1" applyAlignment="1">
      <alignment horizontal="center"/>
    </xf>
    <xf numFmtId="0" fontId="0" fillId="2" borderId="14" xfId="0" applyFill="1" applyBorder="1"/>
    <xf numFmtId="9" fontId="0" fillId="2" borderId="15" xfId="0" applyNumberFormat="1" applyFill="1" applyBorder="1" applyAlignment="1">
      <alignment horizontal="center" wrapText="1"/>
    </xf>
    <xf numFmtId="9" fontId="0" fillId="3" borderId="6" xfId="0" applyNumberFormat="1" applyFill="1" applyBorder="1" applyAlignment="1">
      <alignment horizontal="center" wrapText="1"/>
    </xf>
    <xf numFmtId="49" fontId="0" fillId="2" borderId="3" xfId="0" applyNumberFormat="1" applyFill="1" applyBorder="1" applyAlignment="1">
      <alignment vertical="top" wrapText="1"/>
    </xf>
    <xf numFmtId="0" fontId="0" fillId="2" borderId="20" xfId="0" applyFill="1" applyBorder="1" applyAlignment="1">
      <alignment vertical="top"/>
    </xf>
    <xf numFmtId="0" fontId="0" fillId="2" borderId="14" xfId="0" applyFill="1" applyBorder="1" applyAlignment="1">
      <alignment horizontal="center" vertical="top"/>
    </xf>
    <xf numFmtId="0" fontId="2" fillId="2" borderId="14" xfId="0" applyFont="1" applyFill="1" applyBorder="1" applyAlignment="1">
      <alignment horizontal="left" vertical="top"/>
    </xf>
    <xf numFmtId="0" fontId="2" fillId="2" borderId="15" xfId="0" applyFont="1" applyFill="1" applyBorder="1" applyAlignment="1">
      <alignment horizontal="left" vertical="top"/>
    </xf>
    <xf numFmtId="164" fontId="0" fillId="3" borderId="5" xfId="0" applyNumberFormat="1" applyFill="1" applyBorder="1" applyAlignment="1">
      <alignment horizontal="center"/>
    </xf>
    <xf numFmtId="0" fontId="0" fillId="3" borderId="5" xfId="0" applyFill="1" applyBorder="1"/>
    <xf numFmtId="0" fontId="2" fillId="3" borderId="4" xfId="0" applyFont="1" applyFill="1" applyBorder="1" applyAlignment="1">
      <alignment horizontal="right" indent="2"/>
    </xf>
    <xf numFmtId="0" fontId="2" fillId="2" borderId="13" xfId="0" applyFont="1" applyFill="1" applyBorder="1" applyAlignment="1">
      <alignment horizontal="left" indent="2"/>
    </xf>
    <xf numFmtId="0" fontId="2" fillId="2" borderId="8" xfId="0" applyFont="1" applyFill="1" applyBorder="1" applyAlignment="1">
      <alignment horizontal="left" indent="2"/>
    </xf>
    <xf numFmtId="0" fontId="0" fillId="2" borderId="8" xfId="0" applyFill="1" applyBorder="1" applyAlignment="1">
      <alignment horizontal="left" indent="2"/>
    </xf>
    <xf numFmtId="2" fontId="0" fillId="2" borderId="2" xfId="0" applyNumberFormat="1" applyFill="1" applyBorder="1" applyAlignment="1">
      <alignment horizontal="center" vertical="top"/>
    </xf>
    <xf numFmtId="0" fontId="1" fillId="0" borderId="0" xfId="0" applyFont="1" applyAlignment="1">
      <alignment horizontal="left" vertical="top" wrapText="1"/>
    </xf>
    <xf numFmtId="0" fontId="2" fillId="0" borderId="0" xfId="0" applyFont="1" applyAlignment="1">
      <alignment horizontal="left" vertical="top" wrapText="1"/>
    </xf>
    <xf numFmtId="0" fontId="3" fillId="3" borderId="4" xfId="0" applyFont="1" applyFill="1" applyBorder="1" applyAlignment="1">
      <alignment horizontal="right" indent="2"/>
    </xf>
    <xf numFmtId="164" fontId="3" fillId="3" borderId="5" xfId="0" applyNumberFormat="1" applyFont="1" applyFill="1" applyBorder="1" applyAlignment="1">
      <alignment horizontal="center"/>
    </xf>
    <xf numFmtId="0" fontId="3" fillId="3" borderId="5" xfId="0" applyFont="1" applyFill="1" applyBorder="1"/>
    <xf numFmtId="9" fontId="4" fillId="3" borderId="6" xfId="0" applyNumberFormat="1" applyFont="1" applyFill="1" applyBorder="1" applyAlignment="1">
      <alignment horizontal="center" wrapText="1"/>
    </xf>
    <xf numFmtId="0" fontId="3" fillId="3" borderId="24" xfId="0" applyFont="1" applyFill="1" applyBorder="1" applyAlignment="1">
      <alignment horizontal="left" vertical="top" wrapText="1"/>
    </xf>
    <xf numFmtId="0" fontId="1" fillId="3" borderId="25" xfId="0" applyFont="1" applyFill="1" applyBorder="1" applyAlignment="1">
      <alignment horizontal="left" vertical="top" wrapText="1"/>
    </xf>
    <xf numFmtId="0" fontId="1" fillId="3" borderId="24" xfId="0" applyFont="1" applyFill="1" applyBorder="1" applyAlignment="1">
      <alignment horizontal="left" vertical="top" wrapText="1"/>
    </xf>
    <xf numFmtId="0" fontId="3" fillId="3" borderId="27" xfId="0" applyFont="1" applyFill="1" applyBorder="1"/>
    <xf numFmtId="0" fontId="0" fillId="3" borderId="28" xfId="0" applyFill="1" applyBorder="1" applyAlignment="1">
      <alignment horizontal="center"/>
    </xf>
    <xf numFmtId="0" fontId="0" fillId="3" borderId="28" xfId="0" applyFill="1" applyBorder="1"/>
    <xf numFmtId="0" fontId="0" fillId="3" borderId="29" xfId="0" applyFill="1" applyBorder="1" applyAlignment="1">
      <alignment wrapText="1"/>
    </xf>
    <xf numFmtId="0" fontId="3" fillId="3" borderId="30" xfId="0" applyFont="1" applyFill="1" applyBorder="1"/>
    <xf numFmtId="0" fontId="0" fillId="3" borderId="31" xfId="0" applyFill="1" applyBorder="1" applyAlignment="1">
      <alignment horizontal="center"/>
    </xf>
    <xf numFmtId="0" fontId="0" fillId="3" borderId="31" xfId="0" applyFill="1" applyBorder="1"/>
    <xf numFmtId="0" fontId="0" fillId="3" borderId="32" xfId="0" applyFill="1" applyBorder="1" applyAlignment="1">
      <alignment wrapText="1"/>
    </xf>
    <xf numFmtId="0" fontId="0" fillId="4" borderId="11" xfId="0" applyFill="1" applyBorder="1" applyAlignment="1" applyProtection="1">
      <alignment horizontal="center" vertical="top"/>
      <protection locked="0"/>
    </xf>
    <xf numFmtId="0" fontId="0" fillId="2" borderId="14" xfId="0" applyFill="1" applyBorder="1" applyAlignment="1">
      <alignment horizontal="center"/>
    </xf>
    <xf numFmtId="164" fontId="1" fillId="3" borderId="20" xfId="0" applyNumberFormat="1" applyFont="1" applyFill="1" applyBorder="1" applyAlignment="1">
      <alignment horizontal="center" wrapText="1"/>
    </xf>
    <xf numFmtId="0" fontId="1" fillId="3" borderId="33" xfId="0" applyFont="1" applyFill="1" applyBorder="1" applyAlignment="1">
      <alignment horizontal="left" vertical="top" wrapText="1"/>
    </xf>
    <xf numFmtId="0" fontId="2" fillId="2" borderId="34" xfId="0" applyFont="1" applyFill="1" applyBorder="1" applyAlignment="1">
      <alignment horizontal="left" vertical="top" wrapText="1"/>
    </xf>
    <xf numFmtId="9" fontId="0" fillId="2" borderId="1" xfId="0" applyNumberFormat="1" applyFill="1" applyBorder="1" applyAlignment="1">
      <alignment horizontal="center" wrapText="1"/>
    </xf>
    <xf numFmtId="0" fontId="2" fillId="2" borderId="1" xfId="0" applyFont="1" applyFill="1" applyBorder="1" applyAlignment="1">
      <alignment horizontal="left" vertical="top" wrapText="1"/>
    </xf>
    <xf numFmtId="0" fontId="7" fillId="2" borderId="8" xfId="0" applyFont="1" applyFill="1" applyBorder="1" applyAlignment="1">
      <alignment horizontal="left" vertical="top" indent="1"/>
    </xf>
    <xf numFmtId="0" fontId="7" fillId="2" borderId="20" xfId="0" applyFont="1" applyFill="1" applyBorder="1" applyAlignment="1">
      <alignment vertical="top"/>
    </xf>
    <xf numFmtId="0" fontId="7" fillId="2" borderId="8" xfId="0" applyFont="1" applyFill="1" applyBorder="1" applyAlignment="1">
      <alignment horizontal="left" vertical="top" indent="2"/>
    </xf>
    <xf numFmtId="0" fontId="7" fillId="4" borderId="1" xfId="0" applyFont="1" applyFill="1" applyBorder="1" applyAlignment="1" applyProtection="1">
      <alignment horizontal="center" vertical="top"/>
      <protection locked="0"/>
    </xf>
    <xf numFmtId="0" fontId="7" fillId="2" borderId="1" xfId="0" applyFont="1" applyFill="1" applyBorder="1" applyAlignment="1">
      <alignment vertical="top"/>
    </xf>
    <xf numFmtId="0" fontId="7" fillId="2" borderId="7" xfId="0" applyFont="1" applyFill="1" applyBorder="1" applyAlignment="1">
      <alignment vertical="top" wrapText="1"/>
    </xf>
    <xf numFmtId="0" fontId="7" fillId="2" borderId="7" xfId="0" applyFont="1" applyFill="1" applyBorder="1" applyAlignment="1">
      <alignment wrapText="1"/>
    </xf>
    <xf numFmtId="0" fontId="2" fillId="2" borderId="1" xfId="0" applyFont="1" applyFill="1" applyBorder="1" applyAlignment="1">
      <alignment horizontal="left" vertical="top" indent="1"/>
    </xf>
    <xf numFmtId="0" fontId="2" fillId="2" borderId="1" xfId="0" applyFont="1" applyFill="1" applyBorder="1" applyAlignment="1">
      <alignment vertical="top" wrapText="1"/>
    </xf>
    <xf numFmtId="0" fontId="7" fillId="2" borderId="17" xfId="0" applyFont="1" applyFill="1" applyBorder="1" applyAlignment="1">
      <alignment horizontal="left" vertical="top" indent="1"/>
    </xf>
    <xf numFmtId="0" fontId="7" fillId="4" borderId="18" xfId="0" applyFont="1" applyFill="1" applyBorder="1" applyAlignment="1" applyProtection="1">
      <alignment horizontal="center" vertical="top"/>
      <protection locked="0"/>
    </xf>
    <xf numFmtId="0" fontId="7" fillId="2" borderId="18" xfId="0" applyFont="1" applyFill="1" applyBorder="1" applyAlignment="1">
      <alignment vertical="top"/>
    </xf>
    <xf numFmtId="0" fontId="7" fillId="2" borderId="19" xfId="0" applyFont="1" applyFill="1" applyBorder="1" applyAlignment="1">
      <alignment vertical="top" wrapText="1"/>
    </xf>
    <xf numFmtId="0" fontId="2" fillId="2" borderId="12" xfId="0" applyFont="1" applyFill="1" applyBorder="1" applyAlignment="1">
      <alignment vertical="top" wrapText="1"/>
    </xf>
    <xf numFmtId="0" fontId="2" fillId="2" borderId="1" xfId="0" applyFont="1" applyFill="1" applyBorder="1"/>
    <xf numFmtId="9" fontId="0" fillId="2" borderId="1" xfId="0" applyNumberFormat="1" applyFill="1" applyBorder="1" applyAlignment="1">
      <alignment horizontal="center" vertical="top"/>
    </xf>
    <xf numFmtId="0" fontId="0" fillId="2" borderId="1" xfId="0" applyFill="1" applyBorder="1" applyAlignment="1">
      <alignment vertical="top" wrapText="1"/>
    </xf>
    <xf numFmtId="0" fontId="2" fillId="2" borderId="1" xfId="0" applyFont="1" applyFill="1" applyBorder="1" applyAlignment="1">
      <alignment horizontal="right" vertical="top" indent="1"/>
    </xf>
    <xf numFmtId="0" fontId="9" fillId="5" borderId="0" xfId="0" applyFont="1" applyFill="1"/>
    <xf numFmtId="0" fontId="9" fillId="5" borderId="0" xfId="0" applyFont="1" applyFill="1" applyAlignment="1">
      <alignment horizontal="center"/>
    </xf>
    <xf numFmtId="0" fontId="9" fillId="5" borderId="0" xfId="0" applyFont="1" applyFill="1" applyAlignment="1">
      <alignment wrapText="1"/>
    </xf>
    <xf numFmtId="0" fontId="7" fillId="2" borderId="22" xfId="0" applyFont="1" applyFill="1" applyBorder="1" applyAlignment="1">
      <alignment horizontal="left" vertical="top" indent="1"/>
    </xf>
    <xf numFmtId="0" fontId="7" fillId="2" borderId="16" xfId="0" applyFont="1" applyFill="1" applyBorder="1" applyAlignment="1">
      <alignment vertical="top"/>
    </xf>
    <xf numFmtId="0" fontId="7" fillId="2" borderId="35" xfId="0" applyFont="1" applyFill="1" applyBorder="1" applyAlignment="1">
      <alignment vertical="top" wrapText="1"/>
    </xf>
    <xf numFmtId="0" fontId="10" fillId="2" borderId="1" xfId="0" applyFont="1" applyFill="1" applyBorder="1" applyAlignment="1">
      <alignment horizontal="left" vertical="top" indent="1"/>
    </xf>
    <xf numFmtId="0" fontId="10" fillId="2" borderId="1" xfId="0" applyFont="1" applyFill="1" applyBorder="1" applyAlignment="1">
      <alignment vertical="top"/>
    </xf>
    <xf numFmtId="0" fontId="2" fillId="2" borderId="1" xfId="0" applyFont="1" applyFill="1" applyBorder="1" applyAlignment="1">
      <alignment horizontal="left" vertical="top" indent="2"/>
    </xf>
    <xf numFmtId="43" fontId="0" fillId="0" borderId="0" xfId="0" applyNumberFormat="1"/>
    <xf numFmtId="0" fontId="1" fillId="3" borderId="45" xfId="0" applyFont="1" applyFill="1" applyBorder="1" applyAlignment="1">
      <alignment horizontal="center"/>
    </xf>
    <xf numFmtId="0" fontId="1" fillId="3" borderId="46" xfId="0" applyFont="1" applyFill="1" applyBorder="1" applyAlignment="1">
      <alignment horizontal="center"/>
    </xf>
    <xf numFmtId="164" fontId="1" fillId="3" borderId="7" xfId="0" applyNumberFormat="1" applyFont="1" applyFill="1" applyBorder="1" applyAlignment="1">
      <alignment horizontal="center" wrapText="1"/>
    </xf>
    <xf numFmtId="0" fontId="1" fillId="3" borderId="44" xfId="0" applyFont="1" applyFill="1" applyBorder="1" applyAlignment="1">
      <alignment horizontal="center"/>
    </xf>
    <xf numFmtId="0" fontId="2" fillId="2" borderId="13" xfId="0" applyFont="1" applyFill="1" applyBorder="1" applyAlignment="1">
      <alignment horizontal="left" indent="1"/>
    </xf>
    <xf numFmtId="0" fontId="2" fillId="2" borderId="15" xfId="0" applyFont="1" applyFill="1" applyBorder="1" applyAlignment="1">
      <alignment horizontal="center"/>
    </xf>
    <xf numFmtId="0" fontId="2" fillId="2" borderId="8" xfId="0" applyFont="1" applyFill="1" applyBorder="1" applyAlignment="1">
      <alignment horizontal="left" indent="1"/>
    </xf>
    <xf numFmtId="0" fontId="0" fillId="2" borderId="13" xfId="0" applyFill="1" applyBorder="1" applyAlignment="1">
      <alignment horizontal="left" indent="1"/>
    </xf>
    <xf numFmtId="0" fontId="0" fillId="2" borderId="8" xfId="0" applyFill="1" applyBorder="1" applyAlignment="1">
      <alignment horizontal="left" indent="1"/>
    </xf>
    <xf numFmtId="0" fontId="0" fillId="0" borderId="48" xfId="0" applyBorder="1"/>
    <xf numFmtId="0" fontId="0" fillId="2" borderId="8" xfId="0" applyFill="1" applyBorder="1"/>
    <xf numFmtId="0" fontId="2" fillId="2" borderId="8" xfId="0" applyFont="1" applyFill="1" applyBorder="1"/>
    <xf numFmtId="0" fontId="0" fillId="2" borderId="7" xfId="0" applyFill="1" applyBorder="1" applyAlignment="1">
      <alignment horizontal="center"/>
    </xf>
    <xf numFmtId="0" fontId="2" fillId="2" borderId="9" xfId="0" applyFont="1" applyFill="1" applyBorder="1"/>
    <xf numFmtId="0" fontId="0" fillId="2" borderId="2" xfId="0" applyFill="1" applyBorder="1" applyAlignment="1">
      <alignment horizontal="center"/>
    </xf>
    <xf numFmtId="0" fontId="0" fillId="2" borderId="3" xfId="0" applyFill="1" applyBorder="1" applyAlignment="1">
      <alignment horizontal="center"/>
    </xf>
    <xf numFmtId="0" fontId="10" fillId="2" borderId="1" xfId="0" applyFont="1" applyFill="1" applyBorder="1" applyAlignment="1">
      <alignment vertical="top" wrapText="1"/>
    </xf>
    <xf numFmtId="0" fontId="0" fillId="2" borderId="49" xfId="0" applyFill="1" applyBorder="1" applyAlignment="1">
      <alignment horizontal="center"/>
    </xf>
    <xf numFmtId="0" fontId="1" fillId="3" borderId="43" xfId="0" applyFont="1" applyFill="1" applyBorder="1" applyAlignment="1">
      <alignment horizontal="left"/>
    </xf>
    <xf numFmtId="0" fontId="1" fillId="3" borderId="43" xfId="0" applyFont="1" applyFill="1" applyBorder="1" applyAlignment="1">
      <alignment horizontal="center"/>
    </xf>
    <xf numFmtId="0" fontId="2" fillId="2" borderId="36" xfId="0" applyFont="1" applyFill="1" applyBorder="1" applyAlignment="1">
      <alignment horizontal="left" indent="1"/>
    </xf>
    <xf numFmtId="0" fontId="2" fillId="2" borderId="1" xfId="0" applyFont="1" applyFill="1" applyBorder="1" applyAlignment="1">
      <alignment horizontal="center"/>
    </xf>
    <xf numFmtId="0" fontId="2" fillId="2" borderId="49" xfId="0" applyFont="1" applyFill="1" applyBorder="1" applyAlignment="1">
      <alignment horizontal="center"/>
    </xf>
    <xf numFmtId="0" fontId="2" fillId="2" borderId="9" xfId="0" applyFont="1" applyFill="1" applyBorder="1" applyAlignment="1">
      <alignment horizontal="left" vertical="top" indent="2"/>
    </xf>
    <xf numFmtId="0" fontId="2" fillId="2" borderId="7" xfId="0" applyFont="1" applyFill="1" applyBorder="1" applyAlignment="1">
      <alignment vertical="top" wrapText="1"/>
    </xf>
    <xf numFmtId="0" fontId="2" fillId="2" borderId="15" xfId="0" applyFont="1" applyFill="1" applyBorder="1" applyAlignment="1">
      <alignment vertical="top" wrapText="1"/>
    </xf>
    <xf numFmtId="0" fontId="2" fillId="2" borderId="22" xfId="0" applyFont="1" applyFill="1" applyBorder="1"/>
    <xf numFmtId="0" fontId="0" fillId="2" borderId="16" xfId="0" applyFill="1" applyBorder="1" applyAlignment="1">
      <alignment horizontal="center"/>
    </xf>
    <xf numFmtId="0" fontId="0" fillId="2" borderId="35" xfId="0" applyFill="1" applyBorder="1" applyAlignment="1">
      <alignment horizontal="center"/>
    </xf>
    <xf numFmtId="0" fontId="2" fillId="2" borderId="7" xfId="0" applyFont="1" applyFill="1" applyBorder="1" applyAlignment="1">
      <alignment horizontal="center"/>
    </xf>
    <xf numFmtId="0" fontId="0" fillId="6" borderId="49" xfId="0" applyFill="1" applyBorder="1" applyAlignment="1">
      <alignment horizontal="center"/>
    </xf>
    <xf numFmtId="0" fontId="1" fillId="6" borderId="43" xfId="0" applyFont="1" applyFill="1" applyBorder="1" applyAlignment="1">
      <alignment horizontal="left"/>
    </xf>
    <xf numFmtId="0" fontId="0" fillId="6" borderId="1" xfId="0" applyFill="1" applyBorder="1" applyAlignment="1">
      <alignment horizontal="center"/>
    </xf>
    <xf numFmtId="0" fontId="10" fillId="2" borderId="8" xfId="0" applyFont="1" applyFill="1" applyBorder="1" applyAlignment="1">
      <alignment horizontal="left" indent="2"/>
    </xf>
    <xf numFmtId="164" fontId="10" fillId="2" borderId="14" xfId="0" applyNumberFormat="1" applyFont="1" applyFill="1" applyBorder="1" applyAlignment="1">
      <alignment horizontal="center"/>
    </xf>
    <xf numFmtId="0" fontId="10" fillId="2" borderId="1" xfId="0" applyFont="1" applyFill="1" applyBorder="1"/>
    <xf numFmtId="9" fontId="10" fillId="2" borderId="15" xfId="0" applyNumberFormat="1" applyFont="1" applyFill="1" applyBorder="1" applyAlignment="1">
      <alignment horizontal="center" wrapText="1"/>
    </xf>
    <xf numFmtId="0" fontId="2" fillId="2" borderId="49" xfId="0" applyFont="1" applyFill="1" applyBorder="1" applyAlignment="1">
      <alignment horizontal="right"/>
    </xf>
    <xf numFmtId="0" fontId="2" fillId="2" borderId="1" xfId="0" applyFont="1" applyFill="1" applyBorder="1" applyAlignment="1">
      <alignment horizontal="right"/>
    </xf>
    <xf numFmtId="0" fontId="0" fillId="2" borderId="49" xfId="0" applyFill="1" applyBorder="1" applyAlignment="1">
      <alignment horizontal="right"/>
    </xf>
    <xf numFmtId="0" fontId="0" fillId="2" borderId="1" xfId="0" applyFill="1" applyBorder="1" applyAlignment="1">
      <alignment horizontal="right"/>
    </xf>
    <xf numFmtId="0" fontId="0" fillId="2" borderId="16" xfId="0" applyFill="1" applyBorder="1" applyAlignment="1">
      <alignment horizontal="right"/>
    </xf>
    <xf numFmtId="0" fontId="0" fillId="2" borderId="2" xfId="0" applyFill="1" applyBorder="1" applyAlignment="1">
      <alignment horizontal="right"/>
    </xf>
    <xf numFmtId="0" fontId="13" fillId="7" borderId="48" xfId="0" applyFont="1" applyFill="1" applyBorder="1"/>
    <xf numFmtId="0" fontId="1" fillId="3" borderId="5" xfId="0" applyFont="1" applyFill="1" applyBorder="1" applyAlignment="1">
      <alignment horizontal="center" vertical="top" wrapText="1"/>
    </xf>
    <xf numFmtId="0" fontId="0" fillId="2" borderId="37" xfId="0" applyFill="1" applyBorder="1" applyAlignment="1">
      <alignment horizontal="center"/>
    </xf>
    <xf numFmtId="0" fontId="0" fillId="6" borderId="43" xfId="0" applyFill="1" applyBorder="1" applyAlignment="1">
      <alignment horizontal="center"/>
    </xf>
    <xf numFmtId="0" fontId="0" fillId="2" borderId="43" xfId="0" applyFill="1" applyBorder="1" applyAlignment="1">
      <alignment horizontal="center"/>
    </xf>
    <xf numFmtId="0" fontId="2" fillId="2" borderId="44" xfId="0" applyFont="1" applyFill="1" applyBorder="1" applyAlignment="1">
      <alignment horizontal="center"/>
    </xf>
    <xf numFmtId="49" fontId="2" fillId="2" borderId="3" xfId="0" applyNumberFormat="1" applyFont="1" applyFill="1" applyBorder="1" applyAlignment="1">
      <alignment vertical="top" wrapText="1"/>
    </xf>
    <xf numFmtId="9" fontId="2" fillId="2" borderId="1" xfId="0" applyNumberFormat="1" applyFont="1" applyFill="1" applyBorder="1" applyAlignment="1">
      <alignment horizontal="center" wrapText="1"/>
    </xf>
    <xf numFmtId="0" fontId="2" fillId="4" borderId="50" xfId="0" applyFont="1" applyFill="1" applyBorder="1" applyAlignment="1" applyProtection="1">
      <alignment horizontal="center" vertical="top"/>
      <protection locked="0"/>
    </xf>
    <xf numFmtId="0" fontId="2" fillId="2" borderId="26" xfId="0" applyFont="1" applyFill="1" applyBorder="1" applyAlignment="1">
      <alignment horizontal="left" vertical="top" indent="1"/>
    </xf>
    <xf numFmtId="0" fontId="2" fillId="2" borderId="16" xfId="0" applyFont="1" applyFill="1" applyBorder="1" applyAlignment="1">
      <alignment vertical="top"/>
    </xf>
    <xf numFmtId="0" fontId="2" fillId="8" borderId="26" xfId="0" applyFont="1" applyFill="1" applyBorder="1" applyAlignment="1">
      <alignment horizontal="left" vertical="top" indent="1"/>
    </xf>
    <xf numFmtId="0" fontId="10" fillId="2" borderId="16" xfId="0" applyFont="1" applyFill="1" applyBorder="1" applyAlignment="1">
      <alignment vertical="top"/>
    </xf>
    <xf numFmtId="49" fontId="2" fillId="2" borderId="18" xfId="0" applyNumberFormat="1" applyFont="1" applyFill="1" applyBorder="1" applyAlignment="1">
      <alignment vertical="top" wrapText="1"/>
    </xf>
    <xf numFmtId="49" fontId="2" fillId="2" borderId="2" xfId="0" applyNumberFormat="1" applyFont="1" applyFill="1" applyBorder="1" applyAlignment="1">
      <alignment vertical="top" wrapText="1"/>
    </xf>
    <xf numFmtId="0" fontId="10" fillId="2" borderId="16" xfId="0" applyFont="1" applyFill="1" applyBorder="1" applyAlignment="1">
      <alignment vertical="top" wrapText="1"/>
    </xf>
    <xf numFmtId="0" fontId="0" fillId="0" borderId="0" xfId="0" applyFill="1" applyBorder="1"/>
    <xf numFmtId="0" fontId="2" fillId="2" borderId="51" xfId="0" applyFont="1" applyFill="1" applyBorder="1" applyAlignment="1">
      <alignment horizontal="left" indent="2"/>
    </xf>
    <xf numFmtId="0" fontId="0" fillId="2" borderId="52" xfId="0" applyFill="1" applyBorder="1"/>
    <xf numFmtId="9" fontId="0" fillId="2" borderId="21" xfId="0" applyNumberFormat="1" applyFill="1" applyBorder="1" applyAlignment="1">
      <alignment horizontal="center" wrapText="1"/>
    </xf>
    <xf numFmtId="0" fontId="1" fillId="3" borderId="36" xfId="0" applyFont="1" applyFill="1" applyBorder="1" applyAlignment="1">
      <alignment horizontal="left" vertical="top" indent="1"/>
    </xf>
    <xf numFmtId="0" fontId="1" fillId="3" borderId="37" xfId="0" applyFont="1" applyFill="1" applyBorder="1" applyAlignment="1">
      <alignment horizontal="left" vertical="top" indent="1"/>
    </xf>
    <xf numFmtId="0" fontId="5" fillId="0" borderId="26" xfId="0" applyFont="1" applyBorder="1" applyAlignment="1">
      <alignment vertical="top" wrapText="1"/>
    </xf>
    <xf numFmtId="0" fontId="0" fillId="0" borderId="0" xfId="0" applyBorder="1"/>
    <xf numFmtId="0" fontId="5" fillId="0" borderId="0" xfId="0" applyFont="1" applyAlignment="1">
      <alignment vertical="top" wrapText="1"/>
    </xf>
    <xf numFmtId="0" fontId="2" fillId="2" borderId="53" xfId="0" applyFont="1" applyFill="1" applyBorder="1" applyAlignment="1">
      <alignment horizontal="left" vertical="top" wrapText="1"/>
    </xf>
    <xf numFmtId="0" fontId="0" fillId="0" borderId="0" xfId="0" applyAlignment="1">
      <alignment vertical="center" wrapText="1"/>
    </xf>
    <xf numFmtId="0" fontId="0" fillId="0" borderId="0" xfId="0" applyAlignment="1">
      <alignment horizontal="center" vertical="center" wrapText="1"/>
    </xf>
    <xf numFmtId="2" fontId="18" fillId="10" borderId="7" xfId="0" applyNumberFormat="1" applyFont="1" applyFill="1" applyBorder="1" applyAlignment="1">
      <alignment horizontal="left" vertical="center" wrapText="1"/>
    </xf>
    <xf numFmtId="0" fontId="18" fillId="10" borderId="1" xfId="0" applyFont="1" applyFill="1" applyBorder="1" applyAlignment="1">
      <alignment vertical="center" wrapText="1"/>
    </xf>
    <xf numFmtId="0" fontId="0" fillId="4" borderId="1" xfId="0" applyFill="1" applyBorder="1" applyAlignment="1" applyProtection="1">
      <alignment horizontal="right" vertical="center" wrapText="1"/>
      <protection locked="0"/>
    </xf>
    <xf numFmtId="0" fontId="0" fillId="11" borderId="54" xfId="0" applyFill="1" applyBorder="1" applyAlignment="1">
      <alignment vertical="center" wrapText="1"/>
    </xf>
    <xf numFmtId="0" fontId="2" fillId="2" borderId="5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4" borderId="2" xfId="0" applyFill="1" applyBorder="1" applyAlignment="1" applyProtection="1">
      <alignment horizontal="right" vertical="center" wrapText="1"/>
      <protection locked="0"/>
    </xf>
    <xf numFmtId="0" fontId="0" fillId="12" borderId="38" xfId="0" applyFill="1" applyBorder="1" applyAlignment="1">
      <alignment vertical="center" wrapText="1"/>
    </xf>
    <xf numFmtId="0" fontId="1" fillId="12" borderId="20"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2" borderId="8" xfId="0" applyFont="1" applyFill="1" applyBorder="1" applyAlignment="1">
      <alignment horizontal="left" vertical="center" wrapText="1"/>
    </xf>
    <xf numFmtId="165" fontId="18" fillId="10" borderId="1" xfId="0" applyNumberFormat="1" applyFont="1" applyFill="1" applyBorder="1" applyAlignment="1">
      <alignment horizontal="right" vertical="center" wrapText="1"/>
    </xf>
    <xf numFmtId="0" fontId="19" fillId="10" borderId="56" xfId="0" applyFont="1" applyFill="1" applyBorder="1" applyAlignment="1">
      <alignment vertical="center" wrapText="1"/>
    </xf>
    <xf numFmtId="0" fontId="0" fillId="11" borderId="38" xfId="0" applyFill="1" applyBorder="1" applyAlignment="1">
      <alignment vertical="center" wrapText="1"/>
    </xf>
    <xf numFmtId="0" fontId="2" fillId="2" borderId="20"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8" xfId="0" applyFont="1" applyFill="1" applyBorder="1" applyAlignment="1">
      <alignment vertical="center" wrapText="1"/>
    </xf>
    <xf numFmtId="0" fontId="19" fillId="10" borderId="20" xfId="0" applyFont="1" applyFill="1" applyBorder="1" applyAlignment="1">
      <alignment vertical="center" wrapText="1"/>
    </xf>
    <xf numFmtId="0" fontId="3" fillId="10" borderId="1" xfId="0" applyFont="1" applyFill="1" applyBorder="1" applyAlignment="1">
      <alignment vertical="center" wrapText="1"/>
    </xf>
    <xf numFmtId="0" fontId="0" fillId="0" borderId="0" xfId="0" applyNumberFormat="1" applyAlignment="1">
      <alignment vertical="center" wrapText="1"/>
    </xf>
    <xf numFmtId="0" fontId="0" fillId="4" borderId="1" xfId="0"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0" fontId="0" fillId="12" borderId="1" xfId="0" applyFill="1" applyBorder="1" applyAlignment="1" applyProtection="1">
      <alignment horizontal="center" vertical="center" wrapText="1"/>
      <protection locked="0"/>
    </xf>
    <xf numFmtId="0" fontId="0" fillId="12" borderId="57" xfId="0" applyFill="1" applyBorder="1" applyAlignment="1">
      <alignment vertical="center" wrapText="1"/>
    </xf>
    <xf numFmtId="0" fontId="0" fillId="0" borderId="0" xfId="0" applyNumberFormat="1" applyAlignment="1">
      <alignment horizontal="center" vertical="center" wrapText="1"/>
    </xf>
    <xf numFmtId="0" fontId="0" fillId="12" borderId="38" xfId="0" applyFill="1" applyBorder="1" applyAlignment="1">
      <alignment horizontal="center" vertical="center" wrapText="1"/>
    </xf>
    <xf numFmtId="0" fontId="1" fillId="12" borderId="37" xfId="0" applyFont="1" applyFill="1" applyBorder="1" applyAlignment="1">
      <alignment horizontal="center" vertical="center" wrapText="1"/>
    </xf>
    <xf numFmtId="0" fontId="1" fillId="12" borderId="36" xfId="0" applyFont="1" applyFill="1" applyBorder="1" applyAlignment="1">
      <alignment horizontal="center" vertical="center" wrapText="1"/>
    </xf>
    <xf numFmtId="0" fontId="2" fillId="2" borderId="20" xfId="0" applyFont="1" applyFill="1" applyBorder="1" applyAlignment="1">
      <alignment vertical="center" wrapText="1"/>
    </xf>
    <xf numFmtId="0" fontId="0" fillId="2" borderId="1" xfId="0" applyFill="1" applyBorder="1" applyAlignment="1">
      <alignment vertical="center" wrapText="1"/>
    </xf>
    <xf numFmtId="0" fontId="7" fillId="2" borderId="20" xfId="0" applyFont="1" applyFill="1" applyBorder="1" applyAlignment="1">
      <alignment vertical="center" wrapText="1"/>
    </xf>
    <xf numFmtId="0" fontId="7" fillId="2" borderId="1" xfId="0" applyFont="1" applyFill="1" applyBorder="1" applyAlignment="1">
      <alignment vertical="center" wrapText="1"/>
    </xf>
    <xf numFmtId="0" fontId="7" fillId="4" borderId="1" xfId="0" applyFont="1" applyFill="1" applyBorder="1" applyAlignment="1" applyProtection="1">
      <alignment horizontal="center" vertical="center" wrapText="1"/>
      <protection locked="0"/>
    </xf>
    <xf numFmtId="0" fontId="7" fillId="2" borderId="8" xfId="0" applyFont="1" applyFill="1" applyBorder="1" applyAlignment="1">
      <alignment horizontal="left" vertical="center" wrapText="1"/>
    </xf>
    <xf numFmtId="0" fontId="3" fillId="12" borderId="37" xfId="0" applyFont="1" applyFill="1" applyBorder="1" applyAlignment="1">
      <alignment horizontal="center" vertical="center" wrapText="1"/>
    </xf>
    <xf numFmtId="0" fontId="3" fillId="12" borderId="36" xfId="0" applyFont="1" applyFill="1" applyBorder="1" applyAlignment="1">
      <alignment horizontal="center" vertical="center" wrapText="1"/>
    </xf>
    <xf numFmtId="9" fontId="0" fillId="4" borderId="1" xfId="0" applyNumberFormat="1" applyFill="1" applyBorder="1" applyAlignment="1" applyProtection="1">
      <alignment horizontal="right" vertical="center" wrapText="1"/>
      <protection locked="0"/>
    </xf>
    <xf numFmtId="9" fontId="0" fillId="4" borderId="1" xfId="0" applyNumberFormat="1" applyFill="1" applyBorder="1" applyAlignment="1" applyProtection="1">
      <alignment horizontal="center" vertical="center" wrapText="1"/>
      <protection locked="0"/>
    </xf>
    <xf numFmtId="9" fontId="2" fillId="2" borderId="1" xfId="0" applyNumberFormat="1" applyFont="1" applyFill="1" applyBorder="1" applyAlignment="1">
      <alignment horizontal="right" vertical="top"/>
    </xf>
    <xf numFmtId="0" fontId="2" fillId="2" borderId="8" xfId="0" applyFont="1" applyFill="1" applyBorder="1" applyAlignment="1">
      <alignment horizontal="right" vertical="center" wrapText="1"/>
    </xf>
    <xf numFmtId="0" fontId="0" fillId="2" borderId="8" xfId="0" applyFill="1" applyBorder="1" applyAlignment="1">
      <alignment horizontal="left" vertical="center" wrapText="1"/>
    </xf>
    <xf numFmtId="9" fontId="7" fillId="4" borderId="1" xfId="0" applyNumberFormat="1" applyFont="1" applyFill="1" applyBorder="1" applyAlignment="1" applyProtection="1">
      <alignment horizontal="right" vertical="center" wrapText="1"/>
      <protection locked="0"/>
    </xf>
    <xf numFmtId="9" fontId="7" fillId="4" borderId="1" xfId="0" applyNumberFormat="1" applyFont="1" applyFill="1" applyBorder="1" applyAlignment="1" applyProtection="1">
      <alignment horizontal="center" vertical="center" wrapText="1"/>
      <protection locked="0"/>
    </xf>
    <xf numFmtId="0" fontId="3" fillId="12" borderId="20"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2" fillId="2" borderId="38" xfId="0" applyFont="1" applyFill="1" applyBorder="1" applyAlignment="1">
      <alignment horizontal="left" vertical="center" wrapText="1"/>
    </xf>
    <xf numFmtId="0" fontId="10" fillId="2" borderId="1" xfId="0" applyFont="1" applyFill="1" applyBorder="1" applyAlignment="1">
      <alignment vertical="center" wrapText="1"/>
    </xf>
    <xf numFmtId="0" fontId="10" fillId="4" borderId="1" xfId="0" applyFont="1" applyFill="1" applyBorder="1" applyAlignment="1" applyProtection="1">
      <alignment horizontal="center" vertical="center" wrapText="1"/>
      <protection locked="0"/>
    </xf>
    <xf numFmtId="0" fontId="10" fillId="2" borderId="8" xfId="0" applyFont="1" applyFill="1" applyBorder="1" applyAlignment="1">
      <alignment horizontal="left" vertical="center" wrapText="1"/>
    </xf>
    <xf numFmtId="0" fontId="0" fillId="0" borderId="59" xfId="0"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horizontal="center" vertical="center" wrapText="1"/>
    </xf>
    <xf numFmtId="2" fontId="18" fillId="13" borderId="7" xfId="0" applyNumberFormat="1" applyFont="1" applyFill="1" applyBorder="1" applyAlignment="1">
      <alignment horizontal="left" vertical="center" wrapText="1"/>
    </xf>
    <xf numFmtId="165" fontId="18" fillId="13" borderId="1" xfId="0" applyNumberFormat="1" applyFont="1" applyFill="1" applyBorder="1" applyAlignment="1">
      <alignment horizontal="right" vertical="center" wrapText="1"/>
    </xf>
    <xf numFmtId="0" fontId="3" fillId="13" borderId="1" xfId="0" applyFont="1" applyFill="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14" xfId="0" applyBorder="1" applyAlignment="1">
      <alignment horizontal="center" vertical="center" wrapText="1"/>
    </xf>
    <xf numFmtId="0" fontId="0" fillId="0" borderId="13" xfId="0" applyBorder="1" applyAlignment="1">
      <alignment vertical="center" wrapText="1"/>
    </xf>
    <xf numFmtId="0" fontId="0" fillId="14" borderId="2" xfId="0" applyFill="1" applyBorder="1" applyAlignment="1" applyProtection="1">
      <alignment horizontal="center" vertical="top"/>
      <protection locked="0"/>
    </xf>
    <xf numFmtId="1" fontId="0" fillId="0" borderId="0" xfId="0" applyNumberFormat="1"/>
    <xf numFmtId="0" fontId="2" fillId="15" borderId="1" xfId="11" applyFont="1" applyFill="1" applyBorder="1" applyAlignment="1">
      <alignment horizontal="right" vertical="center"/>
    </xf>
    <xf numFmtId="1" fontId="1" fillId="15" borderId="1" xfId="11" applyNumberFormat="1" applyFont="1" applyFill="1" applyBorder="1" applyAlignment="1">
      <alignment horizontal="right" vertical="center"/>
    </xf>
    <xf numFmtId="0" fontId="1" fillId="2" borderId="1" xfId="0" applyFont="1" applyFill="1" applyBorder="1" applyAlignment="1">
      <alignment horizontal="left" vertical="top" indent="1"/>
    </xf>
    <xf numFmtId="1" fontId="2" fillId="15" borderId="1" xfId="11" applyNumberFormat="1" applyFont="1" applyFill="1" applyBorder="1" applyAlignment="1">
      <alignment horizontal="right" vertical="center"/>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indent="1"/>
    </xf>
    <xf numFmtId="0" fontId="1" fillId="15" borderId="1" xfId="11" applyFont="1" applyFill="1" applyBorder="1" applyAlignment="1">
      <alignment horizontal="right" vertical="center"/>
    </xf>
    <xf numFmtId="0" fontId="2" fillId="15" borderId="1" xfId="11" applyFont="1" applyFill="1" applyBorder="1" applyAlignment="1">
      <alignment horizontal="right" vertical="center" wrapText="1"/>
    </xf>
    <xf numFmtId="0" fontId="1" fillId="3" borderId="1" xfId="0" applyFont="1" applyFill="1" applyBorder="1" applyAlignment="1">
      <alignment horizontal="left" vertical="center" wrapText="1"/>
    </xf>
    <xf numFmtId="0" fontId="2" fillId="16" borderId="20" xfId="11" applyFont="1" applyFill="1" applyBorder="1" applyAlignment="1">
      <alignment horizontal="right" vertical="center"/>
    </xf>
    <xf numFmtId="0" fontId="2" fillId="0" borderId="0" xfId="11"/>
    <xf numFmtId="2" fontId="1" fillId="9" borderId="1" xfId="9" applyNumberFormat="1" applyFont="1" applyBorder="1"/>
    <xf numFmtId="0" fontId="1" fillId="2" borderId="13" xfId="0" applyFont="1" applyFill="1" applyBorder="1" applyAlignment="1">
      <alignment horizontal="left" vertical="top" indent="1"/>
    </xf>
    <xf numFmtId="1" fontId="2" fillId="9" borderId="1" xfId="9" applyNumberFormat="1" applyFont="1" applyBorder="1"/>
    <xf numFmtId="0" fontId="2" fillId="9" borderId="1" xfId="9" applyFont="1" applyBorder="1"/>
    <xf numFmtId="1" fontId="2" fillId="0" borderId="0" xfId="11" applyNumberFormat="1"/>
    <xf numFmtId="1" fontId="1" fillId="9" borderId="1" xfId="9" applyNumberFormat="1" applyFont="1" applyBorder="1"/>
    <xf numFmtId="0" fontId="2" fillId="2" borderId="13" xfId="0" applyFont="1" applyFill="1" applyBorder="1" applyAlignment="1">
      <alignment horizontal="right" vertical="top"/>
    </xf>
    <xf numFmtId="0" fontId="2" fillId="0" borderId="0" xfId="0" applyFont="1" applyFill="1" applyBorder="1" applyAlignment="1">
      <alignment horizontal="left" vertical="top" indent="1"/>
    </xf>
    <xf numFmtId="0" fontId="2" fillId="0" borderId="0" xfId="9" applyFont="1" applyFill="1" applyBorder="1"/>
    <xf numFmtId="0" fontId="2" fillId="16" borderId="1" xfId="11" applyFont="1" applyFill="1" applyBorder="1" applyAlignment="1">
      <alignment horizontal="right" vertical="center"/>
    </xf>
    <xf numFmtId="0" fontId="2" fillId="2" borderId="50" xfId="0" applyFont="1" applyFill="1" applyBorder="1" applyAlignment="1">
      <alignment horizontal="left" vertical="top" indent="1"/>
    </xf>
    <xf numFmtId="0" fontId="2" fillId="9" borderId="0" xfId="9" applyFont="1"/>
    <xf numFmtId="0" fontId="2" fillId="2" borderId="13" xfId="0" applyFont="1" applyFill="1" applyBorder="1" applyAlignment="1">
      <alignment horizontal="left" vertical="center" wrapText="1"/>
    </xf>
    <xf numFmtId="1" fontId="2" fillId="9" borderId="1" xfId="9" applyNumberFormat="1" applyFont="1" applyBorder="1" applyAlignment="1">
      <alignment vertical="center" wrapText="1"/>
    </xf>
    <xf numFmtId="0" fontId="1" fillId="2" borderId="13" xfId="0" applyFont="1" applyFill="1" applyBorder="1" applyAlignment="1">
      <alignment horizontal="left" vertical="center" wrapText="1"/>
    </xf>
    <xf numFmtId="0" fontId="1" fillId="3" borderId="36" xfId="0" applyFont="1" applyFill="1" applyBorder="1" applyAlignment="1">
      <alignment horizontal="left" vertical="center" wrapText="1"/>
    </xf>
    <xf numFmtId="2" fontId="2" fillId="9" borderId="1" xfId="9" applyNumberFormat="1" applyFont="1" applyBorder="1" applyAlignment="1">
      <alignment vertical="center" wrapText="1"/>
    </xf>
    <xf numFmtId="0" fontId="2" fillId="0" borderId="0" xfId="11" applyAlignment="1">
      <alignment vertical="center" wrapText="1"/>
    </xf>
    <xf numFmtId="0" fontId="2" fillId="9" borderId="1" xfId="9" applyFont="1" applyBorder="1" applyAlignment="1">
      <alignment vertical="center" wrapText="1"/>
    </xf>
    <xf numFmtId="0" fontId="1" fillId="2" borderId="1" xfId="0" applyFont="1" applyFill="1" applyBorder="1" applyAlignment="1">
      <alignment horizontal="left" vertical="center" wrapText="1"/>
    </xf>
    <xf numFmtId="164" fontId="2" fillId="0" borderId="0" xfId="11" applyNumberFormat="1" applyAlignment="1">
      <alignment vertical="center" wrapText="1"/>
    </xf>
    <xf numFmtId="0" fontId="2" fillId="2" borderId="50" xfId="0" applyFont="1" applyFill="1" applyBorder="1" applyAlignment="1">
      <alignment horizontal="left" vertical="center" wrapText="1"/>
    </xf>
    <xf numFmtId="0" fontId="2" fillId="16" borderId="1" xfId="11" applyFont="1" applyFill="1" applyBorder="1" applyAlignment="1">
      <alignment horizontal="right" vertical="center" wrapText="1"/>
    </xf>
    <xf numFmtId="0" fontId="2" fillId="0" borderId="0" xfId="0" applyFont="1" applyAlignment="1">
      <alignment vertical="center" wrapText="1"/>
    </xf>
    <xf numFmtId="0" fontId="1" fillId="2" borderId="13" xfId="0" applyFont="1" applyFill="1" applyBorder="1" applyAlignment="1">
      <alignment horizontal="right" vertical="center" wrapText="1"/>
    </xf>
    <xf numFmtId="2" fontId="2" fillId="9" borderId="43" xfId="9" applyNumberFormat="1" applyFont="1" applyBorder="1" applyAlignment="1">
      <alignment vertical="center" wrapText="1"/>
    </xf>
    <xf numFmtId="0" fontId="2" fillId="9" borderId="43" xfId="9" applyFont="1" applyBorder="1" applyAlignment="1">
      <alignment vertical="center" wrapText="1"/>
    </xf>
    <xf numFmtId="0" fontId="2" fillId="9" borderId="20" xfId="9" applyFont="1" applyBorder="1" applyAlignment="1">
      <alignment vertical="center" wrapText="1"/>
    </xf>
    <xf numFmtId="1" fontId="2" fillId="9" borderId="20" xfId="9" applyNumberFormat="1" applyFont="1" applyBorder="1" applyAlignment="1">
      <alignment vertical="center" wrapText="1"/>
    </xf>
    <xf numFmtId="0" fontId="2" fillId="16" borderId="20" xfId="11" applyFont="1" applyFill="1" applyBorder="1" applyAlignment="1">
      <alignment horizontal="right" vertical="center" wrapText="1"/>
    </xf>
    <xf numFmtId="0" fontId="16" fillId="9" borderId="1" xfId="9" applyBorder="1" applyAlignment="1">
      <alignment wrapText="1"/>
    </xf>
    <xf numFmtId="2" fontId="16" fillId="9" borderId="1" xfId="9" applyNumberFormat="1" applyBorder="1" applyAlignment="1">
      <alignment wrapText="1"/>
    </xf>
    <xf numFmtId="0" fontId="0" fillId="0" borderId="60" xfId="0" applyBorder="1" applyAlignment="1">
      <alignment wrapText="1"/>
    </xf>
    <xf numFmtId="0" fontId="2" fillId="0" borderId="60" xfId="0" applyFont="1" applyBorder="1" applyAlignment="1">
      <alignment wrapText="1"/>
    </xf>
    <xf numFmtId="0" fontId="2" fillId="17" borderId="20" xfId="0" applyFont="1" applyFill="1" applyBorder="1" applyAlignment="1">
      <alignment wrapText="1"/>
    </xf>
    <xf numFmtId="0" fontId="2" fillId="17" borderId="1" xfId="0" applyFont="1" applyFill="1" applyBorder="1" applyAlignment="1">
      <alignment wrapText="1"/>
    </xf>
    <xf numFmtId="0" fontId="0" fillId="0" borderId="1" xfId="0" applyBorder="1"/>
    <xf numFmtId="0" fontId="16" fillId="0" borderId="1" xfId="9" applyFill="1" applyBorder="1" applyAlignment="1">
      <alignment wrapText="1"/>
    </xf>
    <xf numFmtId="0" fontId="2" fillId="0" borderId="0" xfId="0" applyFont="1" applyBorder="1" applyAlignment="1">
      <alignment wrapText="1"/>
    </xf>
    <xf numFmtId="0" fontId="2" fillId="18" borderId="1" xfId="11" applyFont="1" applyFill="1" applyBorder="1" applyAlignment="1">
      <alignment horizontal="right" vertical="center" wrapText="1"/>
    </xf>
    <xf numFmtId="0" fontId="1" fillId="3" borderId="36" xfId="0" applyFont="1" applyFill="1" applyBorder="1" applyAlignment="1">
      <alignment horizontal="left" vertical="top" wrapText="1"/>
    </xf>
    <xf numFmtId="0" fontId="2" fillId="14" borderId="50" xfId="0" applyFont="1" applyFill="1" applyBorder="1" applyAlignment="1" applyProtection="1">
      <alignment horizontal="center" vertical="top"/>
      <protection locked="0"/>
    </xf>
    <xf numFmtId="0" fontId="1" fillId="3" borderId="37" xfId="0" applyFont="1" applyFill="1" applyBorder="1" applyAlignment="1">
      <alignment horizontal="left" vertical="top" indent="1"/>
    </xf>
    <xf numFmtId="0" fontId="5" fillId="0" borderId="0" xfId="0" applyFont="1" applyAlignment="1">
      <alignment horizontal="left" vertical="top" wrapText="1"/>
    </xf>
    <xf numFmtId="9" fontId="0" fillId="2" borderId="15" xfId="0" applyNumberFormat="1" applyFill="1" applyBorder="1" applyAlignment="1">
      <alignment horizontal="left" vertical="top" wrapText="1"/>
    </xf>
    <xf numFmtId="0" fontId="2" fillId="2" borderId="47" xfId="0" applyFont="1" applyFill="1" applyBorder="1" applyAlignment="1">
      <alignment horizontal="left" vertical="center" wrapText="1"/>
    </xf>
    <xf numFmtId="0" fontId="0" fillId="4" borderId="23" xfId="0" applyFill="1" applyBorder="1" applyAlignment="1" applyProtection="1">
      <alignment horizontal="center" vertical="center" wrapText="1"/>
      <protection locked="0"/>
    </xf>
    <xf numFmtId="0" fontId="0" fillId="2" borderId="0" xfId="0" applyFill="1" applyAlignment="1">
      <alignment horizontal="left" vertical="top" indent="2"/>
    </xf>
    <xf numFmtId="0" fontId="2" fillId="2" borderId="0" xfId="0" applyFont="1" applyFill="1" applyAlignment="1">
      <alignment vertical="top"/>
    </xf>
    <xf numFmtId="0" fontId="0" fillId="2" borderId="0" xfId="0" applyFill="1" applyAlignment="1">
      <alignment vertical="top" wrapText="1"/>
    </xf>
    <xf numFmtId="165" fontId="0" fillId="2" borderId="1" xfId="10" applyNumberFormat="1" applyFont="1" applyFill="1" applyBorder="1" applyAlignment="1">
      <alignment horizontal="center"/>
    </xf>
    <xf numFmtId="165" fontId="3" fillId="3" borderId="5" xfId="10" applyNumberFormat="1" applyFont="1" applyFill="1" applyBorder="1" applyAlignment="1">
      <alignment horizontal="center"/>
    </xf>
    <xf numFmtId="0" fontId="3" fillId="3" borderId="0" xfId="0" applyFont="1" applyFill="1" applyAlignment="1">
      <alignment horizontal="right" indent="2"/>
    </xf>
    <xf numFmtId="165" fontId="3" fillId="3" borderId="0" xfId="10" applyNumberFormat="1" applyFont="1" applyFill="1" applyAlignment="1">
      <alignment horizontal="center"/>
    </xf>
    <xf numFmtId="0" fontId="3" fillId="3" borderId="0" xfId="0" applyFont="1" applyFill="1"/>
    <xf numFmtId="9" fontId="4" fillId="3" borderId="0" xfId="0" applyNumberFormat="1" applyFont="1" applyFill="1" applyAlignment="1">
      <alignment horizontal="center" wrapText="1"/>
    </xf>
    <xf numFmtId="2" fontId="2" fillId="2" borderId="16" xfId="0" applyNumberFormat="1" applyFont="1" applyFill="1" applyBorder="1" applyAlignment="1">
      <alignment horizontal="center" vertical="top"/>
    </xf>
    <xf numFmtId="2" fontId="2" fillId="2" borderId="1" xfId="0" applyNumberFormat="1" applyFont="1" applyFill="1" applyBorder="1" applyAlignment="1">
      <alignment horizontal="center" vertical="top"/>
    </xf>
    <xf numFmtId="0" fontId="2" fillId="2" borderId="36" xfId="0" applyFont="1" applyFill="1" applyBorder="1" applyAlignment="1">
      <alignment horizontal="left" vertical="center" wrapText="1"/>
    </xf>
    <xf numFmtId="0" fontId="0" fillId="4" borderId="37" xfId="0" applyFill="1" applyBorder="1" applyAlignment="1" applyProtection="1">
      <alignment horizontal="center" vertical="center" wrapText="1"/>
      <protection locked="0"/>
    </xf>
    <xf numFmtId="0" fontId="2" fillId="2" borderId="37" xfId="0" applyFont="1" applyFill="1" applyBorder="1" applyAlignment="1">
      <alignment horizontal="left" vertical="center" wrapText="1"/>
    </xf>
    <xf numFmtId="0" fontId="0" fillId="0" borderId="60" xfId="0" applyBorder="1"/>
    <xf numFmtId="165" fontId="0" fillId="2" borderId="20" xfId="10" applyNumberFormat="1" applyFont="1" applyFill="1" applyBorder="1" applyAlignment="1">
      <alignment horizontal="center"/>
    </xf>
    <xf numFmtId="165" fontId="0" fillId="2" borderId="49" xfId="10" applyNumberFormat="1" applyFont="1" applyFill="1" applyBorder="1" applyAlignment="1">
      <alignment horizontal="center"/>
    </xf>
    <xf numFmtId="0" fontId="0" fillId="2" borderId="0" xfId="0" applyFill="1" applyAlignment="1">
      <alignment horizontal="center"/>
    </xf>
    <xf numFmtId="0" fontId="0" fillId="6" borderId="0" xfId="0" applyFill="1" applyAlignment="1">
      <alignment horizontal="center"/>
    </xf>
    <xf numFmtId="0" fontId="1" fillId="3" borderId="0" xfId="0" applyFont="1" applyFill="1" applyAlignment="1">
      <alignment horizontal="left"/>
    </xf>
    <xf numFmtId="0" fontId="1" fillId="6" borderId="0" xfId="0" applyFont="1" applyFill="1" applyAlignment="1">
      <alignment horizontal="left"/>
    </xf>
    <xf numFmtId="165" fontId="0" fillId="2" borderId="43" xfId="10" applyNumberFormat="1" applyFont="1" applyFill="1" applyBorder="1" applyAlignment="1">
      <alignment horizontal="right"/>
    </xf>
    <xf numFmtId="165" fontId="0" fillId="2" borderId="49" xfId="10" applyNumberFormat="1" applyFont="1" applyFill="1" applyBorder="1" applyAlignment="1">
      <alignment horizontal="right"/>
    </xf>
    <xf numFmtId="165" fontId="0" fillId="2" borderId="0" xfId="10" applyNumberFormat="1" applyFont="1" applyFill="1" applyAlignment="1">
      <alignment horizontal="right"/>
    </xf>
    <xf numFmtId="165" fontId="2" fillId="2" borderId="49" xfId="10" applyNumberFormat="1" applyFill="1" applyBorder="1" applyAlignment="1">
      <alignment horizontal="right"/>
    </xf>
    <xf numFmtId="165" fontId="10" fillId="2" borderId="49" xfId="10" applyNumberFormat="1" applyFont="1" applyFill="1" applyBorder="1" applyAlignment="1">
      <alignment horizontal="right"/>
    </xf>
    <xf numFmtId="0" fontId="1" fillId="3" borderId="0" xfId="0" applyFont="1" applyFill="1"/>
    <xf numFmtId="0" fontId="1" fillId="3" borderId="23" xfId="0" applyFont="1" applyFill="1" applyBorder="1"/>
    <xf numFmtId="0" fontId="1" fillId="3" borderId="47" xfId="0" applyFont="1" applyFill="1" applyBorder="1"/>
    <xf numFmtId="0" fontId="0" fillId="14" borderId="14" xfId="0" applyFill="1" applyBorder="1" applyAlignment="1" applyProtection="1">
      <alignment horizontal="center" vertical="top"/>
    </xf>
    <xf numFmtId="0" fontId="0" fillId="14" borderId="1" xfId="0" applyFill="1" applyBorder="1" applyAlignment="1" applyProtection="1">
      <alignment horizontal="center" vertical="top"/>
    </xf>
    <xf numFmtId="0" fontId="7" fillId="14" borderId="16" xfId="0" applyFont="1" applyFill="1" applyBorder="1" applyAlignment="1" applyProtection="1">
      <alignment horizontal="center" vertical="top"/>
    </xf>
    <xf numFmtId="0" fontId="10" fillId="14" borderId="1" xfId="0" applyFont="1" applyFill="1" applyBorder="1" applyAlignment="1" applyProtection="1">
      <alignment horizontal="center" vertical="top"/>
    </xf>
    <xf numFmtId="0" fontId="2" fillId="14" borderId="14" xfId="0" applyFont="1" applyFill="1" applyBorder="1" applyAlignment="1" applyProtection="1">
      <alignment horizontal="center" vertical="top"/>
    </xf>
    <xf numFmtId="9" fontId="0" fillId="14" borderId="14" xfId="0" applyNumberFormat="1" applyFill="1" applyBorder="1" applyAlignment="1" applyProtection="1">
      <alignment horizontal="center" vertical="top"/>
    </xf>
    <xf numFmtId="9" fontId="0" fillId="14" borderId="1" xfId="0" applyNumberFormat="1" applyFill="1" applyBorder="1" applyAlignment="1" applyProtection="1">
      <alignment horizontal="center" vertical="top"/>
    </xf>
    <xf numFmtId="9" fontId="7" fillId="14" borderId="1" xfId="0" applyNumberFormat="1" applyFont="1" applyFill="1" applyBorder="1" applyAlignment="1" applyProtection="1">
      <alignment horizontal="center" vertical="top"/>
    </xf>
    <xf numFmtId="0" fontId="0" fillId="14" borderId="2" xfId="0" applyFill="1" applyBorder="1" applyAlignment="1" applyProtection="1">
      <alignment horizontal="center" vertical="top"/>
    </xf>
    <xf numFmtId="0" fontId="1" fillId="12" borderId="8"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0" borderId="0" xfId="0" applyFont="1" applyAlignment="1">
      <alignment horizontal="left" vertical="center" wrapText="1"/>
    </xf>
    <xf numFmtId="0" fontId="8" fillId="3" borderId="8"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19" fillId="10" borderId="36" xfId="0" applyFont="1" applyFill="1" applyBorder="1" applyAlignment="1">
      <alignment horizontal="right" vertical="center" wrapText="1"/>
    </xf>
    <xf numFmtId="0" fontId="19" fillId="10" borderId="37" xfId="0" applyFont="1" applyFill="1" applyBorder="1" applyAlignment="1">
      <alignment horizontal="right" vertical="center" wrapText="1"/>
    </xf>
    <xf numFmtId="0" fontId="20" fillId="13" borderId="39" xfId="0" applyFont="1" applyFill="1" applyBorder="1" applyAlignment="1">
      <alignment horizontal="center" vertical="center" wrapText="1"/>
    </xf>
    <xf numFmtId="0" fontId="20" fillId="13" borderId="40" xfId="0" applyFont="1" applyFill="1" applyBorder="1" applyAlignment="1">
      <alignment horizontal="center" vertical="center" wrapText="1"/>
    </xf>
    <xf numFmtId="0" fontId="20" fillId="13" borderId="4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19" fillId="10" borderId="47" xfId="0" applyFont="1" applyFill="1" applyBorder="1" applyAlignment="1">
      <alignment horizontal="right" vertical="center" wrapText="1"/>
    </xf>
    <xf numFmtId="0" fontId="19" fillId="10" borderId="23" xfId="0" applyFont="1" applyFill="1" applyBorder="1" applyAlignment="1">
      <alignment horizontal="right" vertical="center" wrapText="1"/>
    </xf>
    <xf numFmtId="0" fontId="19" fillId="10" borderId="58" xfId="0" applyFont="1" applyFill="1" applyBorder="1" applyAlignment="1">
      <alignment horizontal="right" vertical="center" wrapText="1"/>
    </xf>
    <xf numFmtId="0" fontId="19" fillId="10" borderId="42" xfId="0" applyFont="1" applyFill="1" applyBorder="1" applyAlignment="1">
      <alignment horizontal="right" vertical="center" wrapText="1"/>
    </xf>
    <xf numFmtId="0" fontId="19" fillId="10" borderId="43" xfId="0" applyFont="1" applyFill="1" applyBorder="1" applyAlignment="1">
      <alignment horizontal="right" vertical="center" wrapText="1"/>
    </xf>
    <xf numFmtId="0" fontId="19" fillId="10" borderId="50" xfId="0" applyFont="1" applyFill="1" applyBorder="1" applyAlignment="1">
      <alignment horizontal="right" vertical="center" wrapText="1"/>
    </xf>
    <xf numFmtId="0" fontId="19" fillId="13" borderId="47" xfId="0" applyFont="1" applyFill="1" applyBorder="1" applyAlignment="1">
      <alignment horizontal="right" vertical="center" wrapText="1"/>
    </xf>
    <xf numFmtId="0" fontId="19" fillId="13" borderId="23" xfId="0" applyFont="1" applyFill="1" applyBorder="1" applyAlignment="1">
      <alignment horizontal="right" vertical="center" wrapText="1"/>
    </xf>
    <xf numFmtId="0" fontId="19" fillId="13" borderId="42" xfId="0" applyFont="1" applyFill="1" applyBorder="1" applyAlignment="1">
      <alignment horizontal="right" vertical="center" wrapText="1"/>
    </xf>
    <xf numFmtId="0" fontId="19" fillId="13" borderId="43" xfId="0" applyFont="1" applyFill="1" applyBorder="1" applyAlignment="1">
      <alignment horizontal="right" vertical="center" wrapText="1"/>
    </xf>
    <xf numFmtId="0" fontId="3" fillId="3" borderId="4" xfId="0" applyFont="1" applyFill="1" applyBorder="1" applyAlignment="1">
      <alignment horizontal="left"/>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39" xfId="0" applyFont="1" applyFill="1" applyBorder="1" applyAlignment="1">
      <alignment horizontal="left" vertical="top"/>
    </xf>
    <xf numFmtId="0" fontId="3" fillId="3" borderId="40" xfId="0" applyFont="1" applyFill="1" applyBorder="1" applyAlignment="1">
      <alignment horizontal="left" vertical="top"/>
    </xf>
    <xf numFmtId="0" fontId="3" fillId="3" borderId="41" xfId="0" applyFont="1" applyFill="1" applyBorder="1" applyAlignment="1">
      <alignment horizontal="left" vertical="top"/>
    </xf>
    <xf numFmtId="0" fontId="3" fillId="3" borderId="30" xfId="0" applyFont="1" applyFill="1" applyBorder="1" applyAlignment="1">
      <alignment horizontal="left" vertical="top"/>
    </xf>
    <xf numFmtId="0" fontId="3" fillId="3" borderId="31" xfId="0" applyFont="1" applyFill="1" applyBorder="1" applyAlignment="1">
      <alignment horizontal="left" vertical="top"/>
    </xf>
    <xf numFmtId="0" fontId="3" fillId="3" borderId="32" xfId="0" applyFont="1" applyFill="1" applyBorder="1" applyAlignment="1">
      <alignment horizontal="left" vertical="top"/>
    </xf>
    <xf numFmtId="0" fontId="0" fillId="2" borderId="21" xfId="0" applyFill="1" applyBorder="1" applyAlignment="1">
      <alignment horizontal="left" vertical="top" wrapText="1"/>
    </xf>
    <xf numFmtId="9" fontId="0" fillId="2" borderId="35" xfId="0" applyNumberFormat="1" applyFill="1" applyBorder="1" applyAlignment="1">
      <alignment horizontal="left" vertical="top" wrapText="1"/>
    </xf>
    <xf numFmtId="9" fontId="0" fillId="2" borderId="15" xfId="0" applyNumberFormat="1" applyFill="1" applyBorder="1" applyAlignment="1">
      <alignment horizontal="left" vertical="top" wrapText="1"/>
    </xf>
    <xf numFmtId="0" fontId="8" fillId="3" borderId="42" xfId="0" applyFont="1" applyFill="1" applyBorder="1" applyAlignment="1">
      <alignment horizontal="left" vertical="top" indent="1"/>
    </xf>
    <xf numFmtId="0" fontId="8" fillId="3" borderId="43" xfId="0" applyFont="1" applyFill="1" applyBorder="1" applyAlignment="1">
      <alignment horizontal="left" vertical="top" indent="1"/>
    </xf>
    <xf numFmtId="0" fontId="8" fillId="3" borderId="44" xfId="0" applyFont="1" applyFill="1" applyBorder="1" applyAlignment="1">
      <alignment horizontal="left" vertical="top" indent="1"/>
    </xf>
    <xf numFmtId="0" fontId="8" fillId="3" borderId="36" xfId="0" applyFont="1" applyFill="1" applyBorder="1" applyAlignment="1">
      <alignment horizontal="left" vertical="top" indent="1"/>
    </xf>
    <xf numFmtId="0" fontId="8" fillId="3" borderId="37" xfId="0" applyFont="1" applyFill="1" applyBorder="1" applyAlignment="1">
      <alignment horizontal="left" vertical="top" indent="1"/>
    </xf>
    <xf numFmtId="0" fontId="8" fillId="3" borderId="38" xfId="0" applyFont="1" applyFill="1" applyBorder="1" applyAlignment="1">
      <alignment horizontal="left" vertical="top" indent="1"/>
    </xf>
    <xf numFmtId="0" fontId="1" fillId="3" borderId="36" xfId="0" applyFont="1" applyFill="1" applyBorder="1" applyAlignment="1">
      <alignment horizontal="left" vertical="top" indent="1"/>
    </xf>
    <xf numFmtId="0" fontId="1" fillId="3" borderId="37" xfId="0" applyFont="1" applyFill="1" applyBorder="1" applyAlignment="1">
      <alignment horizontal="left" vertical="top" indent="1"/>
    </xf>
    <xf numFmtId="0" fontId="1" fillId="3" borderId="38" xfId="0" applyFont="1" applyFill="1" applyBorder="1" applyAlignment="1">
      <alignment horizontal="left" vertical="top" indent="1"/>
    </xf>
    <xf numFmtId="0" fontId="5" fillId="0" borderId="0" xfId="0" applyFont="1" applyAlignment="1">
      <alignment horizontal="left" vertical="top" wrapText="1"/>
    </xf>
    <xf numFmtId="0" fontId="1" fillId="3" borderId="36" xfId="0" applyFont="1" applyFill="1" applyBorder="1" applyAlignment="1">
      <alignment horizontal="left"/>
    </xf>
    <xf numFmtId="0" fontId="1" fillId="3" borderId="37" xfId="0" applyFont="1" applyFill="1" applyBorder="1" applyAlignment="1">
      <alignment horizontal="left"/>
    </xf>
    <xf numFmtId="0" fontId="1" fillId="3" borderId="36" xfId="0" applyFont="1" applyFill="1" applyBorder="1" applyAlignment="1">
      <alignment horizontal="center"/>
    </xf>
    <xf numFmtId="0" fontId="1" fillId="3" borderId="37" xfId="0" applyFont="1" applyFill="1" applyBorder="1" applyAlignment="1">
      <alignment horizontal="center"/>
    </xf>
    <xf numFmtId="0" fontId="1" fillId="3" borderId="17" xfId="0" applyFont="1" applyFill="1" applyBorder="1" applyAlignment="1">
      <alignment horizontal="left" vertical="top"/>
    </xf>
    <xf numFmtId="0" fontId="1" fillId="3" borderId="8" xfId="0" applyFont="1" applyFill="1" applyBorder="1" applyAlignment="1">
      <alignment horizontal="left" vertical="top"/>
    </xf>
    <xf numFmtId="0" fontId="1" fillId="3" borderId="47" xfId="0" applyFont="1" applyFill="1" applyBorder="1" applyAlignment="1">
      <alignment horizontal="left"/>
    </xf>
    <xf numFmtId="0" fontId="1" fillId="3" borderId="23" xfId="0" applyFont="1" applyFill="1" applyBorder="1" applyAlignment="1">
      <alignment horizontal="left"/>
    </xf>
    <xf numFmtId="0" fontId="17" fillId="0" borderId="1" xfId="0" applyFont="1" applyBorder="1" applyAlignment="1">
      <alignment horizontal="center"/>
    </xf>
  </cellXfs>
  <cellStyles count="12">
    <cellStyle name="Comma 2" xfId="10" xr:uid="{8A88FB3E-E333-4D4A-9AB2-FB1B5CA1D295}"/>
    <cellStyle name="Followed Hyperlink" xfId="2" builtinId="9" hidden="1"/>
    <cellStyle name="Followed Hyperlink" xfId="4" builtinId="9" hidden="1"/>
    <cellStyle name="Followed Hyperlink" xfId="6" builtinId="9" hidden="1"/>
    <cellStyle name="Followed Hyperlink" xfId="8" builtinId="9" hidden="1"/>
    <cellStyle name="Good" xfId="9" builtinId="26"/>
    <cellStyle name="Hyperlink" xfId="1" builtinId="8" hidden="1"/>
    <cellStyle name="Hyperlink" xfId="3" builtinId="8" hidden="1"/>
    <cellStyle name="Hyperlink" xfId="5" builtinId="8" hidden="1"/>
    <cellStyle name="Hyperlink" xfId="7" builtinId="8" hidden="1"/>
    <cellStyle name="Normal" xfId="0" builtinId="0"/>
    <cellStyle name="Normal 2" xfId="11" xr:uid="{A0A563F8-AEEA-444D-8FFE-179333B8CA70}"/>
  </cellStyles>
  <dxfs count="4">
    <dxf>
      <fill>
        <patternFill>
          <bgColor indexed="10"/>
        </patternFill>
      </fill>
    </dxf>
    <dxf>
      <fill>
        <patternFill>
          <bgColor indexed="42"/>
        </patternFill>
      </fill>
    </dxf>
    <dxf>
      <fill>
        <patternFill>
          <bgColor indexed="10"/>
        </patternFill>
      </fill>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ampiho/AppData/Local/Microsoft/Windows/Temporary%20Internet%20Files/Content.Outlook/ROOTWLNK/BW_calculator_H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esse12.5B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inesse 11.6"/>
      <sheetName val="Voice BW Data"/>
      <sheetName val="Email BW"/>
    </sheetNames>
    <sheetDataSet>
      <sheetData sheetId="0" refreshError="1"/>
      <sheetData sheetId="1">
        <row r="23">
          <cell r="B23">
            <v>0</v>
          </cell>
        </row>
        <row r="27">
          <cell r="B27">
            <v>0.05</v>
          </cell>
        </row>
        <row r="28">
          <cell r="B28">
            <v>0.05</v>
          </cell>
        </row>
        <row r="45">
          <cell r="B45">
            <v>2</v>
          </cell>
        </row>
      </sheetData>
      <sheetData sheetId="2">
        <row r="31">
          <cell r="B31">
            <v>1.3</v>
          </cell>
        </row>
        <row r="33">
          <cell r="B33">
            <v>7</v>
          </cell>
        </row>
        <row r="34">
          <cell r="B34">
            <v>8</v>
          </cell>
        </row>
        <row r="35">
          <cell r="B35">
            <v>10</v>
          </cell>
        </row>
        <row r="36">
          <cell r="B36">
            <v>3</v>
          </cell>
        </row>
        <row r="37">
          <cell r="B37">
            <v>15</v>
          </cell>
        </row>
        <row r="38">
          <cell r="B38">
            <v>8</v>
          </cell>
        </row>
        <row r="39">
          <cell r="B39">
            <v>12</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inesse 12.5"/>
    </sheetNames>
    <sheetDataSet>
      <sheetData sheetId="0"/>
      <sheetData sheetId="1">
        <row r="23">
          <cell r="B23">
            <v>0</v>
          </cell>
        </row>
        <row r="27">
          <cell r="B27">
            <v>0.05</v>
          </cell>
        </row>
        <row r="28">
          <cell r="B28">
            <v>0.05</v>
          </cell>
        </row>
        <row r="45">
          <cell r="B45">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7A510-3F58-4315-A334-4CED5B79710D}">
  <dimension ref="A1:F18"/>
  <sheetViews>
    <sheetView topLeftCell="A7" zoomScale="95" zoomScaleNormal="95" zoomScalePageLayoutView="256" workbookViewId="0">
      <selection activeCell="B41" sqref="B41"/>
    </sheetView>
  </sheetViews>
  <sheetFormatPr defaultColWidth="8.85546875" defaultRowHeight="12.75" x14ac:dyDescent="0.2"/>
  <cols>
    <col min="1" max="1" width="112.85546875" bestFit="1" customWidth="1"/>
  </cols>
  <sheetData>
    <row r="1" spans="1:6" ht="15.75" x14ac:dyDescent="0.2">
      <c r="A1" s="52" t="s">
        <v>203</v>
      </c>
    </row>
    <row r="2" spans="1:6" ht="13.5" thickBot="1" x14ac:dyDescent="0.25">
      <c r="A2" s="53" t="s">
        <v>535</v>
      </c>
    </row>
    <row r="3" spans="1:6" ht="13.5" thickBot="1" x14ac:dyDescent="0.25">
      <c r="A3" s="46"/>
    </row>
    <row r="4" spans="1:6" x14ac:dyDescent="0.2">
      <c r="A4" s="54" t="s">
        <v>65</v>
      </c>
    </row>
    <row r="5" spans="1:6" ht="25.5" x14ac:dyDescent="0.2">
      <c r="A5" s="69" t="s">
        <v>511</v>
      </c>
    </row>
    <row r="6" spans="1:6" ht="25.5" customHeight="1" x14ac:dyDescent="0.2">
      <c r="A6" s="69" t="s">
        <v>202</v>
      </c>
    </row>
    <row r="7" spans="1:6" ht="25.5" customHeight="1" x14ac:dyDescent="0.2">
      <c r="A7" s="69" t="s">
        <v>201</v>
      </c>
    </row>
    <row r="8" spans="1:6" ht="38.25" customHeight="1" x14ac:dyDescent="0.2">
      <c r="A8" s="184" t="s">
        <v>512</v>
      </c>
    </row>
    <row r="9" spans="1:6" ht="13.5" thickBot="1" x14ac:dyDescent="0.25">
      <c r="A9" s="47"/>
    </row>
    <row r="10" spans="1:6" x14ac:dyDescent="0.2">
      <c r="A10" s="66" t="s">
        <v>64</v>
      </c>
    </row>
    <row r="11" spans="1:6" ht="38.25" x14ac:dyDescent="0.2">
      <c r="A11" s="67" t="s">
        <v>128</v>
      </c>
    </row>
    <row r="12" spans="1:6" ht="23.25" customHeight="1" x14ac:dyDescent="0.2">
      <c r="A12" s="67" t="s">
        <v>200</v>
      </c>
    </row>
    <row r="13" spans="1:6" ht="25.5" x14ac:dyDescent="0.2">
      <c r="A13" s="67" t="s">
        <v>199</v>
      </c>
    </row>
    <row r="14" spans="1:6" ht="25.5" x14ac:dyDescent="0.2">
      <c r="A14" s="67" t="s">
        <v>198</v>
      </c>
    </row>
    <row r="15" spans="1:6" ht="25.5" x14ac:dyDescent="0.2">
      <c r="A15" s="166" t="s">
        <v>197</v>
      </c>
    </row>
    <row r="16" spans="1:6" ht="13.5" thickBot="1" x14ac:dyDescent="0.25">
      <c r="A16" s="166" t="s">
        <v>196</v>
      </c>
      <c r="B16" s="165"/>
      <c r="F16" s="164"/>
    </row>
    <row r="17" spans="1:1" ht="64.5" thickBot="1" x14ac:dyDescent="0.25">
      <c r="A17" s="163" t="s">
        <v>537</v>
      </c>
    </row>
    <row r="18" spans="1:1" x14ac:dyDescent="0.2">
      <c r="A18" s="47"/>
    </row>
  </sheetData>
  <sheetProtection algorithmName="SHA-512" hashValue="trcskzMy0Rq+vPyJCZEadgDwIR8EwjivhL8cQBNmn4+xDt82K8J0TCfBs9AsD9F25GsCAyQ4JTxYOXPeNQ4N7A==" saltValue="qBM1054oGxPVU4jELRR47A==" spinCount="100000" sheet="1" formatRows="0" insertColumns="0" insertRows="0" insertHyperlinks="0" deleteColumns="0" deleteRows="0" selectLockedCells="1" sort="0" autoFilter="0" pivotTables="0" selectUn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B860-AFB1-4DBC-B89C-C4E10A96D6E9}">
  <dimension ref="A1:C8"/>
  <sheetViews>
    <sheetView workbookViewId="0">
      <selection activeCell="B41" sqref="B41"/>
    </sheetView>
  </sheetViews>
  <sheetFormatPr defaultColWidth="33.85546875" defaultRowHeight="12.75" x14ac:dyDescent="0.2"/>
  <cols>
    <col min="1" max="1" width="33" bestFit="1" customWidth="1"/>
    <col min="2" max="2" width="14.42578125" bestFit="1" customWidth="1"/>
    <col min="3" max="3" width="64.42578125" customWidth="1"/>
  </cols>
  <sheetData>
    <row r="1" spans="1:3" x14ac:dyDescent="0.2">
      <c r="A1" s="242" t="s">
        <v>504</v>
      </c>
      <c r="B1" s="242"/>
      <c r="C1" s="242"/>
    </row>
    <row r="2" spans="1:3" x14ac:dyDescent="0.2">
      <c r="A2" s="242" t="s">
        <v>381</v>
      </c>
      <c r="B2" s="242" t="s">
        <v>208</v>
      </c>
      <c r="C2" s="242" t="s">
        <v>207</v>
      </c>
    </row>
    <row r="3" spans="1:3" x14ac:dyDescent="0.2">
      <c r="A3" s="185" t="s">
        <v>235</v>
      </c>
      <c r="B3" s="267">
        <f>'Bandwidth Calculator'!C136</f>
        <v>5</v>
      </c>
      <c r="C3" s="185" t="s">
        <v>227</v>
      </c>
    </row>
    <row r="4" spans="1:3" x14ac:dyDescent="0.2">
      <c r="A4" s="260" t="s">
        <v>470</v>
      </c>
      <c r="B4" s="260" t="s">
        <v>503</v>
      </c>
      <c r="C4" s="242" t="s">
        <v>207</v>
      </c>
    </row>
    <row r="5" spans="1:3" x14ac:dyDescent="0.2">
      <c r="A5" s="257" t="s">
        <v>502</v>
      </c>
      <c r="B5" s="272">
        <v>0.5</v>
      </c>
      <c r="C5" s="185" t="s">
        <v>8</v>
      </c>
    </row>
    <row r="6" spans="1:3" x14ac:dyDescent="0.2">
      <c r="A6" s="260" t="s">
        <v>63</v>
      </c>
      <c r="B6" s="260"/>
      <c r="C6" s="242"/>
    </row>
    <row r="7" spans="1:3" ht="25.5" x14ac:dyDescent="0.2">
      <c r="A7" s="260"/>
      <c r="B7" s="260" t="s">
        <v>416</v>
      </c>
      <c r="C7" s="242" t="s">
        <v>207</v>
      </c>
    </row>
    <row r="8" spans="1:3" x14ac:dyDescent="0.2">
      <c r="A8" s="269" t="s">
        <v>501</v>
      </c>
      <c r="B8" s="272">
        <f>B5*B3</f>
        <v>2.5</v>
      </c>
      <c r="C8" s="185" t="s">
        <v>8</v>
      </c>
    </row>
  </sheetData>
  <sheetProtection algorithmName="SHA-512" hashValue="q14PEBl/qnhwvDWF449Yo0rzaH+8JERRLIvqOIaqmtpBsfRUjZ0mrESJOFaPngucXEIm77o+57CvRQyJ1uSwBg==" saltValue="Jgi1mmA4Jwp7oUZo8Y2FFQ==" spinCount="100000" sheet="1" selectLockedCells="1" selectUn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7CDA-FB86-44B6-801E-6CF939586228}">
  <sheetPr>
    <tabColor theme="8"/>
  </sheetPr>
  <dimension ref="A1:D50"/>
  <sheetViews>
    <sheetView workbookViewId="0">
      <selection activeCell="B41" sqref="B41"/>
    </sheetView>
  </sheetViews>
  <sheetFormatPr defaultColWidth="9.140625" defaultRowHeight="12.75" x14ac:dyDescent="0.2"/>
  <cols>
    <col min="1" max="1" width="44" style="7" customWidth="1"/>
    <col min="2" max="2" width="36.5703125" style="7" bestFit="1" customWidth="1"/>
    <col min="3" max="3" width="37.140625" style="7" bestFit="1" customWidth="1"/>
    <col min="4" max="4" width="27.5703125" style="7" bestFit="1" customWidth="1"/>
    <col min="5" max="16384" width="9.140625" style="7"/>
  </cols>
  <sheetData>
    <row r="1" spans="1:3" ht="25.5" x14ac:dyDescent="0.2">
      <c r="A1" s="285" t="s">
        <v>500</v>
      </c>
      <c r="B1" s="285"/>
      <c r="C1" s="285"/>
    </row>
    <row r="2" spans="1:3" x14ac:dyDescent="0.2">
      <c r="A2" s="285" t="s">
        <v>499</v>
      </c>
      <c r="B2" s="285" t="s">
        <v>208</v>
      </c>
      <c r="C2" s="285"/>
    </row>
    <row r="3" spans="1:3" x14ac:dyDescent="0.2">
      <c r="A3" s="69" t="s">
        <v>223</v>
      </c>
      <c r="B3" s="284">
        <f>'Bandwidth Calculator'!C122</f>
        <v>1</v>
      </c>
      <c r="C3" s="69" t="s">
        <v>206</v>
      </c>
    </row>
    <row r="4" spans="1:3" x14ac:dyDescent="0.2">
      <c r="A4" s="69" t="s">
        <v>498</v>
      </c>
      <c r="B4" s="284">
        <f>'Bandwidth Calculator'!C123</f>
        <v>1000</v>
      </c>
      <c r="C4" s="69" t="s">
        <v>206</v>
      </c>
    </row>
    <row r="5" spans="1:3" x14ac:dyDescent="0.2">
      <c r="A5" s="69" t="s">
        <v>497</v>
      </c>
      <c r="B5" s="284">
        <f>'Bandwidth Calculator'!C124</f>
        <v>20</v>
      </c>
      <c r="C5" s="69" t="s">
        <v>206</v>
      </c>
    </row>
    <row r="6" spans="1:3" x14ac:dyDescent="0.2">
      <c r="A6" s="69" t="s">
        <v>496</v>
      </c>
      <c r="B6" s="284">
        <f>'Bandwidth Calculator'!C125</f>
        <v>0.25</v>
      </c>
      <c r="C6" s="69" t="s">
        <v>218</v>
      </c>
    </row>
    <row r="7" spans="1:3" x14ac:dyDescent="0.2">
      <c r="A7" s="69" t="s">
        <v>495</v>
      </c>
      <c r="B7" s="284">
        <f>'Bandwidth Calculator'!C126</f>
        <v>2</v>
      </c>
      <c r="C7" s="69" t="s">
        <v>218</v>
      </c>
    </row>
    <row r="8" spans="1:3" x14ac:dyDescent="0.2">
      <c r="A8" s="69" t="s">
        <v>217</v>
      </c>
      <c r="B8" s="284">
        <f>'Bandwidth Calculator'!C127</f>
        <v>0</v>
      </c>
      <c r="C8" s="69"/>
    </row>
    <row r="9" spans="1:3" x14ac:dyDescent="0.2">
      <c r="A9" s="69" t="s">
        <v>494</v>
      </c>
      <c r="B9" s="284">
        <f>'Bandwidth Calculator'!C128</f>
        <v>0</v>
      </c>
      <c r="C9" s="69"/>
    </row>
    <row r="10" spans="1:3" x14ac:dyDescent="0.2">
      <c r="A10" s="69" t="s">
        <v>215</v>
      </c>
      <c r="B10" s="284">
        <f>'Bandwidth Calculator'!C129</f>
        <v>1</v>
      </c>
      <c r="C10" s="69"/>
    </row>
    <row r="11" spans="1:3" x14ac:dyDescent="0.2">
      <c r="A11" s="69" t="s">
        <v>214</v>
      </c>
      <c r="B11" s="284">
        <f>'Bandwidth Calculator'!C130</f>
        <v>1</v>
      </c>
      <c r="C11" s="69"/>
    </row>
    <row r="12" spans="1:3" x14ac:dyDescent="0.2">
      <c r="A12" s="69" t="s">
        <v>213</v>
      </c>
      <c r="B12" s="284">
        <f>'Bandwidth Calculator'!C131</f>
        <v>1</v>
      </c>
      <c r="C12" s="69"/>
    </row>
    <row r="13" spans="1:3" x14ac:dyDescent="0.2">
      <c r="A13" s="69" t="s">
        <v>493</v>
      </c>
      <c r="B13" s="284">
        <f>'Bandwidth Calculator'!C132</f>
        <v>300</v>
      </c>
      <c r="C13" s="69"/>
    </row>
    <row r="14" spans="1:3" x14ac:dyDescent="0.2">
      <c r="A14" s="283"/>
      <c r="B14" s="283"/>
      <c r="C14" s="283"/>
    </row>
    <row r="15" spans="1:3" x14ac:dyDescent="0.2">
      <c r="A15" s="283"/>
      <c r="B15" s="283"/>
      <c r="C15" s="283"/>
    </row>
    <row r="16" spans="1:3" x14ac:dyDescent="0.2">
      <c r="A16" s="283"/>
      <c r="B16" s="283"/>
      <c r="C16" s="283"/>
    </row>
    <row r="18" spans="1:4" ht="14.25" customHeight="1" x14ac:dyDescent="0.2">
      <c r="A18" s="280" t="s">
        <v>492</v>
      </c>
      <c r="B18" s="280" t="s">
        <v>491</v>
      </c>
      <c r="C18" s="280"/>
      <c r="D18" s="280"/>
    </row>
    <row r="19" spans="1:4" ht="25.5" x14ac:dyDescent="0.2">
      <c r="A19" s="280"/>
      <c r="B19" s="280" t="s">
        <v>490</v>
      </c>
      <c r="C19" s="280" t="s">
        <v>489</v>
      </c>
      <c r="D19" s="280" t="s">
        <v>488</v>
      </c>
    </row>
    <row r="20" spans="1:4" ht="15" x14ac:dyDescent="0.25">
      <c r="A20" s="275" t="s">
        <v>487</v>
      </c>
      <c r="B20" s="275">
        <v>158.30000000000001</v>
      </c>
      <c r="C20" s="275">
        <v>190</v>
      </c>
      <c r="D20" s="275">
        <v>150</v>
      </c>
    </row>
    <row r="21" spans="1:4" ht="15" x14ac:dyDescent="0.25">
      <c r="A21" s="275" t="s">
        <v>486</v>
      </c>
      <c r="B21" s="275">
        <v>38.6</v>
      </c>
      <c r="C21" s="275">
        <v>63</v>
      </c>
      <c r="D21" s="275">
        <v>15</v>
      </c>
    </row>
    <row r="22" spans="1:4" ht="15" x14ac:dyDescent="0.25">
      <c r="A22" s="275" t="s">
        <v>485</v>
      </c>
      <c r="B22" s="275">
        <v>571</v>
      </c>
      <c r="C22" s="275">
        <v>156</v>
      </c>
      <c r="D22" s="275">
        <v>281</v>
      </c>
    </row>
    <row r="23" spans="1:4" ht="15" x14ac:dyDescent="0.25">
      <c r="A23" s="275" t="s">
        <v>484</v>
      </c>
      <c r="B23" s="275">
        <v>1E-3</v>
      </c>
      <c r="C23" s="275">
        <v>10</v>
      </c>
      <c r="D23" s="275">
        <v>1</v>
      </c>
    </row>
    <row r="24" spans="1:4" ht="15" x14ac:dyDescent="0.25">
      <c r="A24" s="282"/>
      <c r="B24" s="282"/>
      <c r="C24" s="282"/>
      <c r="D24" s="282"/>
    </row>
    <row r="25" spans="1:4" x14ac:dyDescent="0.2">
      <c r="A25" s="280" t="s">
        <v>483</v>
      </c>
      <c r="B25" s="280"/>
      <c r="C25" s="280"/>
      <c r="D25" s="280"/>
    </row>
    <row r="26" spans="1:4" ht="15" x14ac:dyDescent="0.25">
      <c r="A26" s="281"/>
      <c r="B26" s="387" t="s">
        <v>482</v>
      </c>
      <c r="C26" s="387"/>
      <c r="D26" s="387"/>
    </row>
    <row r="27" spans="1:4" ht="15" x14ac:dyDescent="0.25">
      <c r="A27" s="275" t="s">
        <v>481</v>
      </c>
      <c r="B27" s="275"/>
      <c r="C27" s="275">
        <v>230</v>
      </c>
      <c r="D27" s="275"/>
    </row>
    <row r="31" spans="1:4" x14ac:dyDescent="0.2">
      <c r="A31" s="280" t="s">
        <v>480</v>
      </c>
      <c r="B31" s="280" t="s">
        <v>479</v>
      </c>
      <c r="C31" s="279" t="s">
        <v>207</v>
      </c>
      <c r="D31" s="278"/>
    </row>
    <row r="32" spans="1:4" ht="15" x14ac:dyDescent="0.25">
      <c r="A32" s="275" t="s">
        <v>478</v>
      </c>
      <c r="B32" s="275">
        <f>((B20/D20)*1000*B3*B4)/8000</f>
        <v>131.91666666666669</v>
      </c>
      <c r="C32" s="275"/>
      <c r="D32" s="277"/>
    </row>
    <row r="33" spans="1:4" ht="15" x14ac:dyDescent="0.25">
      <c r="A33" s="275" t="s">
        <v>477</v>
      </c>
      <c r="B33" s="275">
        <f>((B21/D21)*1000*B8*B9)/3000</f>
        <v>0</v>
      </c>
      <c r="C33" s="275"/>
      <c r="D33" s="277"/>
    </row>
    <row r="34" spans="1:4" ht="15" x14ac:dyDescent="0.25">
      <c r="A34" s="275" t="s">
        <v>476</v>
      </c>
      <c r="B34" s="275">
        <f>((B22/D22)*1000*B10)</f>
        <v>2032.0284697508896</v>
      </c>
      <c r="C34" s="275"/>
      <c r="D34" s="277"/>
    </row>
    <row r="35" spans="1:4" ht="15" x14ac:dyDescent="0.25">
      <c r="A35" s="275" t="s">
        <v>475</v>
      </c>
      <c r="B35" s="275">
        <f>((B23/D23)*1000*B11)</f>
        <v>1</v>
      </c>
      <c r="C35" s="275"/>
      <c r="D35" s="277"/>
    </row>
    <row r="36" spans="1:4" ht="15" x14ac:dyDescent="0.25">
      <c r="A36" s="275" t="s">
        <v>474</v>
      </c>
      <c r="B36" s="275">
        <f>((B12*B13)/100)*C27</f>
        <v>690</v>
      </c>
      <c r="C36" s="275"/>
    </row>
    <row r="37" spans="1:4" ht="15" x14ac:dyDescent="0.25">
      <c r="A37" s="275" t="s">
        <v>7</v>
      </c>
      <c r="B37" s="276">
        <f>SUM(B32:B36)*8</f>
        <v>22839.561091340449</v>
      </c>
      <c r="C37" s="275" t="s">
        <v>8</v>
      </c>
    </row>
    <row r="49" spans="1:3" x14ac:dyDescent="0.2">
      <c r="A49" s="7" t="s">
        <v>473</v>
      </c>
      <c r="C49" s="7" t="s">
        <v>472</v>
      </c>
    </row>
    <row r="50" spans="1:3" x14ac:dyDescent="0.2">
      <c r="A50" s="7" t="s">
        <v>471</v>
      </c>
    </row>
  </sheetData>
  <sheetProtection algorithmName="SHA-512" hashValue="6LA2Bnw1JgvVHUaY+8twK90296Fp8fciTxhThINGSmlk0WSzFAlne2meVNRbtgr9P7bczdNP+9vO3Tz+juLhlw==" saltValue="TcsbFbbHruFb2w4M5YFaxg==" spinCount="100000" sheet="1" selectLockedCells="1" selectUnlockedCells="1"/>
  <mergeCells count="1">
    <mergeCell ref="B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D7E5E-5C5B-4E5F-96A1-D0B4352F30DD}">
  <sheetPr>
    <tabColor rgb="FFFFFF00"/>
  </sheetPr>
  <dimension ref="A1:I148"/>
  <sheetViews>
    <sheetView tabSelected="1" zoomScale="80" zoomScaleNormal="80" zoomScalePageLayoutView="200" workbookViewId="0">
      <pane ySplit="4" topLeftCell="A8" activePane="bottomLeft" state="frozen"/>
      <selection activeCell="B41" sqref="B41"/>
      <selection pane="bottomLeft" activeCell="B41" sqref="B41"/>
    </sheetView>
  </sheetViews>
  <sheetFormatPr defaultColWidth="8.85546875" defaultRowHeight="12.75" x14ac:dyDescent="0.2"/>
  <cols>
    <col min="1" max="1" width="71.5703125" style="167" customWidth="1"/>
    <col min="2" max="2" width="13.7109375" style="168" hidden="1" customWidth="1"/>
    <col min="3" max="3" width="18" style="168" bestFit="1" customWidth="1"/>
    <col min="4" max="4" width="26" style="167" customWidth="1"/>
    <col min="5" max="5" width="130.42578125" style="167" bestFit="1" customWidth="1"/>
    <col min="6" max="6" width="11.85546875" style="167" customWidth="1"/>
    <col min="7" max="9" width="12.42578125" style="167" bestFit="1" customWidth="1"/>
    <col min="10" max="16384" width="8.85546875" style="167"/>
  </cols>
  <sheetData>
    <row r="1" spans="1:6" ht="44.25" customHeight="1" thickBot="1" x14ac:dyDescent="0.25">
      <c r="A1" s="342" t="s">
        <v>536</v>
      </c>
      <c r="B1" s="343"/>
      <c r="C1" s="343"/>
      <c r="D1" s="343"/>
      <c r="E1" s="343"/>
      <c r="F1" s="344"/>
    </row>
    <row r="2" spans="1:6" ht="12.75" hidden="1" customHeight="1" x14ac:dyDescent="0.2">
      <c r="A2" s="231"/>
      <c r="B2" s="230"/>
      <c r="C2" s="230"/>
      <c r="D2" s="229"/>
      <c r="E2" s="229"/>
      <c r="F2" s="228"/>
    </row>
    <row r="3" spans="1:6" ht="24" customHeight="1" x14ac:dyDescent="0.2">
      <c r="A3" s="353" t="s">
        <v>63</v>
      </c>
      <c r="B3" s="354"/>
      <c r="C3" s="354"/>
      <c r="D3" s="227" t="s">
        <v>307</v>
      </c>
      <c r="E3" s="226">
        <f>(E133+E119+E96+E85+E67+E14+E6) *D138</f>
        <v>241641.85874587519</v>
      </c>
      <c r="F3" s="225" t="s">
        <v>8</v>
      </c>
    </row>
    <row r="4" spans="1:6" ht="63" x14ac:dyDescent="0.2">
      <c r="A4" s="355"/>
      <c r="B4" s="356"/>
      <c r="C4" s="356"/>
      <c r="D4" s="227" t="s">
        <v>306</v>
      </c>
      <c r="E4" s="226">
        <f>(E111+E103+E86)*D138</f>
        <v>800.99166666666667</v>
      </c>
      <c r="F4" s="225" t="s">
        <v>8</v>
      </c>
    </row>
    <row r="5" spans="1:6" ht="12.75" customHeight="1" x14ac:dyDescent="0.2">
      <c r="A5" s="223"/>
      <c r="B5" s="224"/>
      <c r="C5" s="223"/>
      <c r="D5" s="223"/>
      <c r="E5" s="222"/>
      <c r="F5" s="222"/>
    </row>
    <row r="6" spans="1:6" ht="26.25" customHeight="1" x14ac:dyDescent="0.2">
      <c r="A6" s="347" t="s">
        <v>305</v>
      </c>
      <c r="B6" s="348"/>
      <c r="C6" s="349"/>
      <c r="D6" s="189" t="s">
        <v>304</v>
      </c>
      <c r="E6" s="180">
        <f>'Finesse BW'!B58</f>
        <v>42618.063075999999</v>
      </c>
      <c r="F6" s="169" t="s">
        <v>8</v>
      </c>
    </row>
    <row r="7" spans="1:6" ht="26.25" customHeight="1" x14ac:dyDescent="0.2">
      <c r="A7" s="350"/>
      <c r="B7" s="351"/>
      <c r="C7" s="352"/>
      <c r="D7" s="189" t="s">
        <v>303</v>
      </c>
      <c r="E7" s="180">
        <f>'Finesse BW'!B59</f>
        <v>8983.207033333334</v>
      </c>
      <c r="F7" s="169" t="s">
        <v>8</v>
      </c>
    </row>
    <row r="8" spans="1:6" ht="31.5" x14ac:dyDescent="0.2">
      <c r="A8" s="216" t="s">
        <v>46</v>
      </c>
      <c r="B8" s="215" t="s">
        <v>157</v>
      </c>
      <c r="C8" s="215" t="s">
        <v>208</v>
      </c>
      <c r="D8" s="215" t="s">
        <v>11</v>
      </c>
      <c r="E8" s="345" t="s">
        <v>10</v>
      </c>
      <c r="F8" s="346"/>
    </row>
    <row r="9" spans="1:6" ht="15.95" customHeight="1" x14ac:dyDescent="0.2">
      <c r="A9" s="216" t="s">
        <v>2</v>
      </c>
      <c r="B9" s="215"/>
      <c r="C9" s="345"/>
      <c r="D9" s="345"/>
      <c r="E9" s="345"/>
      <c r="F9" s="346"/>
    </row>
    <row r="10" spans="1:6" ht="12.75" customHeight="1" x14ac:dyDescent="0.2">
      <c r="A10" s="192" t="s">
        <v>1</v>
      </c>
      <c r="B10" s="191">
        <v>300</v>
      </c>
      <c r="C10" s="171">
        <v>200</v>
      </c>
      <c r="D10" s="200" t="s">
        <v>23</v>
      </c>
      <c r="E10" s="183" t="s">
        <v>151</v>
      </c>
      <c r="F10" s="218"/>
    </row>
    <row r="11" spans="1:6" ht="12.75" customHeight="1" x14ac:dyDescent="0.2">
      <c r="A11" s="192" t="s">
        <v>30</v>
      </c>
      <c r="B11" s="191">
        <v>30</v>
      </c>
      <c r="C11" s="171">
        <v>8</v>
      </c>
      <c r="D11" s="200" t="s">
        <v>31</v>
      </c>
      <c r="E11" s="183" t="s">
        <v>34</v>
      </c>
      <c r="F11" s="218"/>
    </row>
    <row r="12" spans="1:6" ht="13.5" hidden="1" customHeight="1" x14ac:dyDescent="0.2">
      <c r="A12" s="204" t="s">
        <v>69</v>
      </c>
      <c r="B12" s="203">
        <v>0</v>
      </c>
      <c r="C12" s="171">
        <v>0</v>
      </c>
      <c r="D12" s="202" t="s">
        <v>32</v>
      </c>
      <c r="E12" s="185" t="s">
        <v>33</v>
      </c>
      <c r="F12" s="218"/>
    </row>
    <row r="13" spans="1:6" ht="73.5" customHeight="1" x14ac:dyDescent="0.2">
      <c r="A13" s="221" t="s">
        <v>121</v>
      </c>
      <c r="B13" s="220">
        <v>1</v>
      </c>
      <c r="C13" s="171">
        <v>5</v>
      </c>
      <c r="D13" s="219" t="s">
        <v>120</v>
      </c>
      <c r="E13" s="183" t="s">
        <v>152</v>
      </c>
      <c r="F13" s="218"/>
    </row>
    <row r="14" spans="1:6" ht="26.25" x14ac:dyDescent="0.2">
      <c r="A14" s="340" t="s">
        <v>302</v>
      </c>
      <c r="B14" s="341"/>
      <c r="C14" s="341"/>
      <c r="D14" s="188"/>
      <c r="E14" s="180">
        <f>'Finesse BW'!B97</f>
        <v>2461.1470097777778</v>
      </c>
      <c r="F14" s="169" t="s">
        <v>8</v>
      </c>
    </row>
    <row r="15" spans="1:6" ht="15.95" customHeight="1" x14ac:dyDescent="0.2">
      <c r="A15" s="216" t="s">
        <v>20</v>
      </c>
      <c r="B15" s="215"/>
      <c r="C15" s="215" t="s">
        <v>208</v>
      </c>
      <c r="D15" s="215" t="s">
        <v>11</v>
      </c>
      <c r="E15" s="214" t="s">
        <v>10</v>
      </c>
      <c r="F15" s="196"/>
    </row>
    <row r="16" spans="1:6" ht="12.75" customHeight="1" x14ac:dyDescent="0.2">
      <c r="A16" s="192" t="s">
        <v>53</v>
      </c>
      <c r="B16" s="217">
        <v>6000</v>
      </c>
      <c r="C16" s="171">
        <v>6000</v>
      </c>
      <c r="D16" s="185" t="s">
        <v>54</v>
      </c>
      <c r="E16" s="183" t="s">
        <v>67</v>
      </c>
      <c r="F16" s="182"/>
    </row>
    <row r="17" spans="1:9" ht="12.75" customHeight="1" x14ac:dyDescent="0.2">
      <c r="A17" s="192" t="s">
        <v>55</v>
      </c>
      <c r="B17" s="217">
        <v>30</v>
      </c>
      <c r="C17" s="171">
        <v>30</v>
      </c>
      <c r="D17" s="185" t="s">
        <v>24</v>
      </c>
      <c r="E17" s="183"/>
      <c r="F17" s="182"/>
    </row>
    <row r="18" spans="1:9" ht="15.95" customHeight="1" x14ac:dyDescent="0.2">
      <c r="A18" s="216" t="s">
        <v>39</v>
      </c>
      <c r="B18" s="215"/>
      <c r="C18" s="215"/>
      <c r="D18" s="215"/>
      <c r="E18" s="214"/>
      <c r="F18" s="196"/>
      <c r="H18" s="190"/>
      <c r="I18" s="190"/>
    </row>
    <row r="19" spans="1:9" ht="12.75" customHeight="1" x14ac:dyDescent="0.2">
      <c r="A19" s="211" t="s">
        <v>3</v>
      </c>
      <c r="B19" s="208">
        <v>0.3</v>
      </c>
      <c r="C19" s="207">
        <v>0.9</v>
      </c>
      <c r="D19" s="200" t="s">
        <v>35</v>
      </c>
      <c r="E19" s="183" t="s">
        <v>36</v>
      </c>
      <c r="F19" s="182"/>
      <c r="H19" s="190"/>
      <c r="I19" s="190"/>
    </row>
    <row r="20" spans="1:9" ht="12.75" customHeight="1" x14ac:dyDescent="0.2">
      <c r="A20" s="211" t="s">
        <v>4</v>
      </c>
      <c r="B20" s="208">
        <v>0.3</v>
      </c>
      <c r="C20" s="207">
        <v>0.06</v>
      </c>
      <c r="D20" s="200" t="s">
        <v>35</v>
      </c>
      <c r="E20" s="183"/>
      <c r="F20" s="182"/>
      <c r="H20" s="190"/>
      <c r="I20" s="190"/>
    </row>
    <row r="21" spans="1:9" ht="15.75" hidden="1" customHeight="1" x14ac:dyDescent="0.2">
      <c r="A21" s="204" t="s">
        <v>70</v>
      </c>
      <c r="B21" s="213">
        <v>0</v>
      </c>
      <c r="C21" s="212">
        <v>0</v>
      </c>
      <c r="D21" s="202" t="s">
        <v>35</v>
      </c>
      <c r="E21" s="183" t="s">
        <v>37</v>
      </c>
      <c r="F21" s="182"/>
      <c r="H21" s="190"/>
      <c r="I21" s="190"/>
    </row>
    <row r="22" spans="1:9" ht="12.75" customHeight="1" x14ac:dyDescent="0.2">
      <c r="A22" s="211" t="s">
        <v>5</v>
      </c>
      <c r="B22" s="208">
        <v>0.1</v>
      </c>
      <c r="C22" s="207">
        <v>0.02</v>
      </c>
      <c r="D22" s="200" t="s">
        <v>35</v>
      </c>
      <c r="E22" s="183"/>
      <c r="F22" s="182"/>
      <c r="H22" s="190"/>
      <c r="I22" s="190"/>
    </row>
    <row r="23" spans="1:9" ht="12.75" hidden="1" customHeight="1" x14ac:dyDescent="0.2">
      <c r="A23" s="192" t="s">
        <v>146</v>
      </c>
      <c r="B23" s="208">
        <v>0</v>
      </c>
      <c r="C23" s="207">
        <v>0</v>
      </c>
      <c r="D23" s="200" t="s">
        <v>35</v>
      </c>
      <c r="E23" s="183"/>
      <c r="F23" s="182"/>
      <c r="H23" s="190"/>
      <c r="I23" s="190"/>
    </row>
    <row r="24" spans="1:9" ht="12.75" customHeight="1" x14ac:dyDescent="0.2">
      <c r="A24" s="211" t="s">
        <v>6</v>
      </c>
      <c r="B24" s="208">
        <v>0.3</v>
      </c>
      <c r="C24" s="207">
        <v>0.02</v>
      </c>
      <c r="D24" s="200" t="s">
        <v>35</v>
      </c>
      <c r="E24" s="183" t="s">
        <v>38</v>
      </c>
      <c r="F24" s="182"/>
      <c r="H24" s="190"/>
      <c r="I24" s="190"/>
    </row>
    <row r="25" spans="1:9" ht="12.75" customHeight="1" x14ac:dyDescent="0.2">
      <c r="A25" s="210" t="s">
        <v>7</v>
      </c>
      <c r="B25" s="208"/>
      <c r="C25" s="209">
        <f>SUM(C19:C24)</f>
        <v>1</v>
      </c>
      <c r="D25" s="200"/>
      <c r="E25" s="183"/>
      <c r="F25" s="182"/>
      <c r="H25" s="190"/>
      <c r="I25" s="190"/>
    </row>
    <row r="26" spans="1:9" ht="12.75" customHeight="1" x14ac:dyDescent="0.2">
      <c r="A26" s="192" t="s">
        <v>108</v>
      </c>
      <c r="B26" s="208">
        <v>0.1</v>
      </c>
      <c r="C26" s="207">
        <v>0.01</v>
      </c>
      <c r="D26" s="200" t="s">
        <v>35</v>
      </c>
      <c r="E26" s="183"/>
      <c r="F26" s="182"/>
      <c r="H26" s="190"/>
      <c r="I26" s="190"/>
    </row>
    <row r="27" spans="1:9" ht="12.75" customHeight="1" x14ac:dyDescent="0.2">
      <c r="A27" s="192" t="s">
        <v>144</v>
      </c>
      <c r="B27" s="208">
        <v>0.05</v>
      </c>
      <c r="C27" s="207">
        <v>0.01</v>
      </c>
      <c r="D27" s="200" t="s">
        <v>35</v>
      </c>
      <c r="E27" s="183" t="s">
        <v>148</v>
      </c>
      <c r="F27" s="182"/>
      <c r="H27" s="190"/>
      <c r="I27" s="190"/>
    </row>
    <row r="28" spans="1:9" ht="12.75" customHeight="1" x14ac:dyDescent="0.2">
      <c r="A28" s="192" t="s">
        <v>145</v>
      </c>
      <c r="B28" s="208">
        <v>0.05</v>
      </c>
      <c r="C28" s="207">
        <v>0.01</v>
      </c>
      <c r="D28" s="200" t="s">
        <v>35</v>
      </c>
      <c r="E28" s="183" t="s">
        <v>149</v>
      </c>
      <c r="F28" s="182"/>
      <c r="H28" s="190"/>
      <c r="I28" s="190"/>
    </row>
    <row r="29" spans="1:9" s="168" customFormat="1" ht="15.95" customHeight="1" x14ac:dyDescent="0.2">
      <c r="A29" s="206" t="s">
        <v>301</v>
      </c>
      <c r="B29" s="205"/>
      <c r="C29" s="205"/>
      <c r="D29" s="205"/>
      <c r="E29" s="205"/>
      <c r="F29" s="196"/>
      <c r="H29" s="195"/>
      <c r="I29" s="195"/>
    </row>
    <row r="30" spans="1:9" ht="12.75" hidden="1" customHeight="1" x14ac:dyDescent="0.2">
      <c r="A30" s="204" t="s">
        <v>81</v>
      </c>
      <c r="B30" s="203">
        <v>5</v>
      </c>
      <c r="C30" s="203">
        <v>5</v>
      </c>
      <c r="D30" s="202" t="s">
        <v>9</v>
      </c>
      <c r="E30" s="201" t="s">
        <v>49</v>
      </c>
      <c r="F30" s="182"/>
      <c r="H30" s="190"/>
      <c r="I30" s="190"/>
    </row>
    <row r="31" spans="1:9" ht="12.75" customHeight="1" x14ac:dyDescent="0.2">
      <c r="A31" s="192" t="s">
        <v>79</v>
      </c>
      <c r="B31" s="191">
        <v>30</v>
      </c>
      <c r="C31" s="171">
        <v>30</v>
      </c>
      <c r="D31" s="186" t="s">
        <v>23</v>
      </c>
      <c r="E31" s="183" t="s">
        <v>114</v>
      </c>
      <c r="F31" s="182"/>
      <c r="H31" s="190"/>
      <c r="I31" s="190"/>
    </row>
    <row r="32" spans="1:9" ht="12.75" hidden="1" customHeight="1" thickBot="1" x14ac:dyDescent="0.25">
      <c r="A32" s="192" t="s">
        <v>155</v>
      </c>
      <c r="B32" s="191">
        <v>0</v>
      </c>
      <c r="C32" s="191">
        <v>0</v>
      </c>
      <c r="D32" s="200" t="s">
        <v>9</v>
      </c>
      <c r="E32" s="199" t="s">
        <v>113</v>
      </c>
      <c r="F32" s="182"/>
      <c r="H32" s="190"/>
      <c r="I32" s="190"/>
    </row>
    <row r="33" spans="1:9" ht="12.75" hidden="1" customHeight="1" x14ac:dyDescent="0.2">
      <c r="A33" s="335" t="s">
        <v>76</v>
      </c>
      <c r="B33" s="336"/>
      <c r="C33" s="336"/>
      <c r="D33" s="336"/>
      <c r="E33" s="337"/>
      <c r="F33" s="182"/>
      <c r="H33" s="190"/>
      <c r="I33" s="190"/>
    </row>
    <row r="34" spans="1:9" ht="12.75" hidden="1" customHeight="1" x14ac:dyDescent="0.2">
      <c r="A34" s="204" t="s">
        <v>72</v>
      </c>
      <c r="B34" s="203">
        <v>17</v>
      </c>
      <c r="C34" s="203">
        <v>17</v>
      </c>
      <c r="D34" s="202" t="s">
        <v>25</v>
      </c>
      <c r="E34" s="201" t="s">
        <v>66</v>
      </c>
      <c r="F34" s="182"/>
      <c r="H34" s="190"/>
      <c r="I34" s="190"/>
    </row>
    <row r="35" spans="1:9" ht="12.75" hidden="1" customHeight="1" x14ac:dyDescent="0.2">
      <c r="A35" s="204" t="s">
        <v>73</v>
      </c>
      <c r="B35" s="203">
        <v>10</v>
      </c>
      <c r="C35" s="203">
        <v>10</v>
      </c>
      <c r="D35" s="202" t="s">
        <v>24</v>
      </c>
      <c r="E35" s="201" t="s">
        <v>41</v>
      </c>
      <c r="F35" s="182"/>
      <c r="H35" s="190"/>
      <c r="I35" s="190"/>
    </row>
    <row r="36" spans="1:9" ht="12.75" hidden="1" customHeight="1" x14ac:dyDescent="0.2">
      <c r="A36" s="335" t="s">
        <v>77</v>
      </c>
      <c r="B36" s="336"/>
      <c r="C36" s="336"/>
      <c r="D36" s="336"/>
      <c r="E36" s="337"/>
      <c r="F36" s="182"/>
      <c r="H36" s="190"/>
      <c r="I36" s="190"/>
    </row>
    <row r="37" spans="1:9" ht="12.75" hidden="1" customHeight="1" x14ac:dyDescent="0.2">
      <c r="A37" s="204" t="s">
        <v>74</v>
      </c>
      <c r="B37" s="203">
        <v>6</v>
      </c>
      <c r="C37" s="203">
        <v>6</v>
      </c>
      <c r="D37" s="202" t="s">
        <v>25</v>
      </c>
      <c r="E37" s="201" t="s">
        <v>29</v>
      </c>
      <c r="F37" s="182"/>
      <c r="H37" s="190"/>
      <c r="I37" s="190"/>
    </row>
    <row r="38" spans="1:9" ht="12.75" hidden="1" customHeight="1" x14ac:dyDescent="0.2">
      <c r="A38" s="204" t="s">
        <v>75</v>
      </c>
      <c r="B38" s="203" t="e">
        <f>Average_Call_Duration_v801</f>
        <v>#NAME?</v>
      </c>
      <c r="C38" s="203" t="e">
        <f>Average_Call_Duration_v801</f>
        <v>#NAME?</v>
      </c>
      <c r="D38" s="202" t="s">
        <v>24</v>
      </c>
      <c r="E38" s="201" t="s">
        <v>45</v>
      </c>
      <c r="F38" s="182"/>
      <c r="H38" s="190"/>
      <c r="I38" s="190"/>
    </row>
    <row r="39" spans="1:9" ht="12.75" hidden="1" customHeight="1" thickBot="1" x14ac:dyDescent="0.25">
      <c r="A39" s="192" t="s">
        <v>154</v>
      </c>
      <c r="B39" s="191">
        <v>0</v>
      </c>
      <c r="C39" s="191">
        <v>0</v>
      </c>
      <c r="D39" s="200" t="s">
        <v>9</v>
      </c>
      <c r="E39" s="199"/>
      <c r="F39" s="182"/>
      <c r="H39" s="190"/>
      <c r="I39" s="190"/>
    </row>
    <row r="40" spans="1:9" s="168" customFormat="1" ht="12.75" customHeight="1" x14ac:dyDescent="0.2">
      <c r="A40" s="198" t="s">
        <v>21</v>
      </c>
      <c r="B40" s="197"/>
      <c r="C40" s="197"/>
      <c r="D40" s="197"/>
      <c r="E40" s="197"/>
      <c r="F40" s="196"/>
      <c r="H40" s="195"/>
      <c r="I40" s="195"/>
    </row>
    <row r="41" spans="1:9" ht="12.75" customHeight="1" x14ac:dyDescent="0.2">
      <c r="A41" s="192" t="s">
        <v>19</v>
      </c>
      <c r="B41" s="191">
        <v>1</v>
      </c>
      <c r="C41" s="171">
        <v>2</v>
      </c>
      <c r="D41" s="186" t="s">
        <v>12</v>
      </c>
      <c r="E41" s="183" t="s">
        <v>47</v>
      </c>
      <c r="F41" s="182"/>
      <c r="H41" s="190"/>
      <c r="I41" s="190"/>
    </row>
    <row r="42" spans="1:9" ht="12.75" customHeight="1" x14ac:dyDescent="0.2">
      <c r="A42" s="192" t="s">
        <v>48</v>
      </c>
      <c r="B42" s="191">
        <v>640</v>
      </c>
      <c r="C42" s="171">
        <v>640</v>
      </c>
      <c r="D42" s="186" t="s">
        <v>13</v>
      </c>
      <c r="E42" s="183" t="s">
        <v>50</v>
      </c>
      <c r="F42" s="182"/>
      <c r="H42" s="190"/>
      <c r="I42" s="190"/>
    </row>
    <row r="43" spans="1:9" ht="12.75" customHeight="1" x14ac:dyDescent="0.2">
      <c r="A43" s="192" t="s">
        <v>57</v>
      </c>
      <c r="B43" s="191">
        <v>1970</v>
      </c>
      <c r="C43" s="171">
        <v>1500</v>
      </c>
      <c r="D43" s="186" t="s">
        <v>13</v>
      </c>
      <c r="E43" s="183" t="s">
        <v>52</v>
      </c>
      <c r="F43" s="182"/>
      <c r="H43" s="190"/>
      <c r="I43" s="190"/>
    </row>
    <row r="44" spans="1:9" s="168" customFormat="1" ht="12.75" customHeight="1" x14ac:dyDescent="0.2">
      <c r="A44" s="198" t="s">
        <v>22</v>
      </c>
      <c r="B44" s="197"/>
      <c r="C44" s="197"/>
      <c r="D44" s="197"/>
      <c r="E44" s="197"/>
      <c r="F44" s="196"/>
      <c r="H44" s="195"/>
      <c r="I44" s="195"/>
    </row>
    <row r="45" spans="1:9" ht="12.75" customHeight="1" x14ac:dyDescent="0.2">
      <c r="A45" s="192" t="s">
        <v>143</v>
      </c>
      <c r="B45" s="191">
        <v>2</v>
      </c>
      <c r="C45" s="171">
        <v>2</v>
      </c>
      <c r="D45" s="186" t="s">
        <v>12</v>
      </c>
      <c r="E45" s="183" t="s">
        <v>142</v>
      </c>
      <c r="F45" s="182"/>
      <c r="H45" s="190"/>
      <c r="I45" s="190"/>
    </row>
    <row r="46" spans="1:9" ht="12.75" customHeight="1" x14ac:dyDescent="0.2">
      <c r="A46" s="192" t="s">
        <v>58</v>
      </c>
      <c r="B46" s="191">
        <v>100</v>
      </c>
      <c r="C46" s="171">
        <v>100</v>
      </c>
      <c r="D46" s="186" t="s">
        <v>13</v>
      </c>
      <c r="E46" s="183" t="s">
        <v>68</v>
      </c>
      <c r="F46" s="182"/>
      <c r="H46" s="190"/>
      <c r="I46" s="190"/>
    </row>
    <row r="47" spans="1:9" s="168" customFormat="1" ht="12.75" customHeight="1" x14ac:dyDescent="0.2">
      <c r="A47" s="198" t="s">
        <v>165</v>
      </c>
      <c r="B47" s="197"/>
      <c r="C47" s="197"/>
      <c r="D47" s="197"/>
      <c r="E47" s="197"/>
      <c r="F47" s="196"/>
      <c r="H47" s="195"/>
      <c r="I47" s="195"/>
    </row>
    <row r="48" spans="1:9" ht="12.75" customHeight="1" x14ac:dyDescent="0.2">
      <c r="A48" s="192" t="s">
        <v>179</v>
      </c>
      <c r="B48" s="191">
        <v>5</v>
      </c>
      <c r="C48" s="171">
        <v>5</v>
      </c>
      <c r="D48" s="186" t="s">
        <v>177</v>
      </c>
      <c r="E48" s="183"/>
      <c r="F48" s="182"/>
      <c r="G48" s="190"/>
      <c r="H48" s="190"/>
    </row>
    <row r="49" spans="1:9" ht="12.75" customHeight="1" x14ac:dyDescent="0.2">
      <c r="A49" s="192" t="s">
        <v>195</v>
      </c>
      <c r="B49" s="191">
        <v>3</v>
      </c>
      <c r="C49" s="171">
        <v>3</v>
      </c>
      <c r="D49" s="186" t="s">
        <v>178</v>
      </c>
      <c r="E49" s="183"/>
      <c r="F49" s="182"/>
      <c r="G49" s="190"/>
      <c r="H49" s="190"/>
    </row>
    <row r="50" spans="1:9" ht="12.75" customHeight="1" x14ac:dyDescent="0.2">
      <c r="A50" s="192" t="s">
        <v>175</v>
      </c>
      <c r="B50" s="191">
        <v>100</v>
      </c>
      <c r="C50" s="171">
        <v>100</v>
      </c>
      <c r="D50" s="186"/>
      <c r="E50" s="183"/>
      <c r="F50" s="182"/>
      <c r="G50" s="190"/>
      <c r="H50" s="190"/>
    </row>
    <row r="51" spans="1:9" ht="12.75" customHeight="1" x14ac:dyDescent="0.2">
      <c r="A51" s="192" t="s">
        <v>190</v>
      </c>
      <c r="B51" s="191">
        <v>50</v>
      </c>
      <c r="C51" s="171">
        <v>50</v>
      </c>
      <c r="D51" s="186"/>
      <c r="E51" s="183"/>
      <c r="F51" s="182"/>
      <c r="G51" s="190"/>
      <c r="H51" s="190"/>
    </row>
    <row r="52" spans="1:9" ht="12.75" customHeight="1" x14ac:dyDescent="0.2">
      <c r="A52" s="192" t="s">
        <v>181</v>
      </c>
      <c r="B52" s="191">
        <v>0</v>
      </c>
      <c r="C52" s="171">
        <v>0</v>
      </c>
      <c r="D52" s="186" t="s">
        <v>180</v>
      </c>
      <c r="E52" s="183"/>
      <c r="F52" s="182"/>
      <c r="G52" s="190"/>
      <c r="H52" s="190"/>
    </row>
    <row r="53" spans="1:9" ht="12.75" customHeight="1" x14ac:dyDescent="0.2">
      <c r="A53" s="192" t="s">
        <v>189</v>
      </c>
      <c r="B53" s="191">
        <v>2</v>
      </c>
      <c r="C53" s="171">
        <v>2</v>
      </c>
      <c r="D53" s="186"/>
      <c r="E53" s="183"/>
      <c r="F53" s="182"/>
      <c r="G53" s="190"/>
      <c r="H53" s="190"/>
    </row>
    <row r="54" spans="1:9" ht="12.75" customHeight="1" x14ac:dyDescent="0.2">
      <c r="A54" s="192" t="s">
        <v>176</v>
      </c>
      <c r="B54" s="191">
        <v>1</v>
      </c>
      <c r="C54" s="171">
        <v>1</v>
      </c>
      <c r="D54" s="186" t="s">
        <v>120</v>
      </c>
      <c r="E54" s="183" t="s">
        <v>163</v>
      </c>
      <c r="F54" s="182"/>
      <c r="G54" s="190"/>
      <c r="H54" s="190"/>
    </row>
    <row r="55" spans="1:9" ht="12.75" customHeight="1" x14ac:dyDescent="0.2">
      <c r="A55" s="192" t="s">
        <v>187</v>
      </c>
      <c r="B55" s="191">
        <v>1983</v>
      </c>
      <c r="C55" s="171">
        <v>1983</v>
      </c>
      <c r="D55" s="186" t="s">
        <v>129</v>
      </c>
      <c r="E55" s="183"/>
      <c r="F55" s="182"/>
      <c r="G55" s="190"/>
      <c r="H55" s="190"/>
    </row>
    <row r="56" spans="1:9" ht="12.75" customHeight="1" x14ac:dyDescent="0.2">
      <c r="A56" s="192" t="s">
        <v>164</v>
      </c>
      <c r="B56" s="191">
        <v>150</v>
      </c>
      <c r="C56" s="171">
        <v>150</v>
      </c>
      <c r="D56" s="186"/>
      <c r="E56" s="183"/>
      <c r="F56" s="182"/>
      <c r="G56" s="190"/>
      <c r="H56" s="190"/>
    </row>
    <row r="57" spans="1:9" s="168" customFormat="1" ht="12.75" customHeight="1" x14ac:dyDescent="0.2">
      <c r="A57" s="198" t="s">
        <v>191</v>
      </c>
      <c r="B57" s="197"/>
      <c r="C57" s="197"/>
      <c r="D57" s="197"/>
      <c r="E57" s="197"/>
      <c r="F57" s="196"/>
      <c r="H57" s="195"/>
      <c r="I57" s="195"/>
    </row>
    <row r="58" spans="1:9" ht="12.75" customHeight="1" x14ac:dyDescent="0.2">
      <c r="A58" s="303" t="s">
        <v>528</v>
      </c>
      <c r="B58" s="304"/>
      <c r="C58" s="171">
        <v>100</v>
      </c>
      <c r="D58" s="186" t="s">
        <v>193</v>
      </c>
      <c r="E58" s="305"/>
      <c r="F58" s="182"/>
      <c r="G58" s="190"/>
      <c r="H58" s="190"/>
    </row>
    <row r="59" spans="1:9" ht="12.75" customHeight="1" x14ac:dyDescent="0.2">
      <c r="A59" s="303" t="s">
        <v>192</v>
      </c>
      <c r="B59" s="304"/>
      <c r="C59" s="171">
        <v>1024</v>
      </c>
      <c r="D59" s="186" t="s">
        <v>129</v>
      </c>
      <c r="E59" s="305"/>
      <c r="F59" s="182"/>
      <c r="G59" s="190"/>
      <c r="H59" s="190"/>
    </row>
    <row r="60" spans="1:9" s="168" customFormat="1" ht="12.75" customHeight="1" x14ac:dyDescent="0.2">
      <c r="A60" s="198" t="s">
        <v>526</v>
      </c>
      <c r="B60" s="197"/>
      <c r="C60" s="197"/>
      <c r="D60" s="197"/>
      <c r="E60" s="197"/>
      <c r="F60" s="196"/>
      <c r="H60" s="195"/>
      <c r="I60" s="195"/>
    </row>
    <row r="61" spans="1:9" ht="12.75" customHeight="1" x14ac:dyDescent="0.2">
      <c r="A61" s="290" t="s">
        <v>513</v>
      </c>
      <c r="B61" s="291"/>
      <c r="C61" s="171">
        <v>1500</v>
      </c>
      <c r="D61" s="186" t="s">
        <v>518</v>
      </c>
      <c r="E61" s="183" t="s">
        <v>522</v>
      </c>
      <c r="F61" s="182"/>
      <c r="G61" s="190"/>
      <c r="H61" s="190"/>
    </row>
    <row r="62" spans="1:9" ht="12.75" customHeight="1" x14ac:dyDescent="0.2">
      <c r="A62" s="290" t="s">
        <v>514</v>
      </c>
      <c r="B62" s="291"/>
      <c r="C62" s="171">
        <v>20</v>
      </c>
      <c r="D62" s="186" t="s">
        <v>519</v>
      </c>
      <c r="E62" s="183" t="s">
        <v>523</v>
      </c>
      <c r="F62" s="182"/>
      <c r="G62" s="190"/>
      <c r="H62" s="190"/>
    </row>
    <row r="63" spans="1:9" ht="12.75" customHeight="1" x14ac:dyDescent="0.2">
      <c r="A63" s="290" t="s">
        <v>515</v>
      </c>
      <c r="B63" s="291"/>
      <c r="C63" s="171">
        <v>20</v>
      </c>
      <c r="D63" s="186" t="s">
        <v>519</v>
      </c>
      <c r="E63" s="183" t="s">
        <v>523</v>
      </c>
      <c r="F63" s="182"/>
      <c r="G63" s="190"/>
      <c r="H63" s="190"/>
    </row>
    <row r="64" spans="1:9" ht="12.75" customHeight="1" x14ac:dyDescent="0.2">
      <c r="A64" s="290" t="s">
        <v>516</v>
      </c>
      <c r="B64" s="291"/>
      <c r="C64" s="171">
        <v>50</v>
      </c>
      <c r="D64" s="186" t="s">
        <v>520</v>
      </c>
      <c r="E64" s="183" t="s">
        <v>524</v>
      </c>
      <c r="F64" s="182"/>
      <c r="G64" s="190"/>
      <c r="H64" s="190"/>
    </row>
    <row r="65" spans="1:9" ht="12.75" customHeight="1" x14ac:dyDescent="0.2">
      <c r="A65" s="290" t="s">
        <v>517</v>
      </c>
      <c r="B65" s="291"/>
      <c r="C65" s="171">
        <v>10</v>
      </c>
      <c r="D65" s="186" t="s">
        <v>521</v>
      </c>
      <c r="E65" s="183" t="s">
        <v>525</v>
      </c>
      <c r="F65" s="182"/>
      <c r="G65" s="190"/>
      <c r="H65" s="190"/>
    </row>
    <row r="66" spans="1:9" ht="43.5" customHeight="1" x14ac:dyDescent="0.2">
      <c r="A66" s="347" t="s">
        <v>300</v>
      </c>
      <c r="B66" s="348"/>
      <c r="C66" s="348"/>
      <c r="D66" s="189" t="s">
        <v>299</v>
      </c>
      <c r="E66" s="180">
        <f>'Finesse LD Report BW Data'!B28</f>
        <v>10354688</v>
      </c>
      <c r="F66" s="169" t="s">
        <v>8</v>
      </c>
      <c r="H66" s="190"/>
      <c r="I66" s="190"/>
    </row>
    <row r="67" spans="1:9" ht="43.5" customHeight="1" x14ac:dyDescent="0.2">
      <c r="A67" s="350"/>
      <c r="B67" s="351"/>
      <c r="C67" s="351"/>
      <c r="D67" s="189" t="s">
        <v>298</v>
      </c>
      <c r="E67" s="180">
        <f>'Finesse LD Report BW Data'!B25</f>
        <v>123481.60000000001</v>
      </c>
      <c r="F67" s="169" t="s">
        <v>8</v>
      </c>
      <c r="H67" s="190"/>
      <c r="I67" s="190"/>
    </row>
    <row r="68" spans="1:9" ht="12.75" customHeight="1" x14ac:dyDescent="0.2">
      <c r="A68" s="179" t="s">
        <v>297</v>
      </c>
      <c r="B68" s="193"/>
      <c r="C68" s="178" t="s">
        <v>208</v>
      </c>
      <c r="D68" s="178" t="s">
        <v>11</v>
      </c>
      <c r="E68" s="177" t="s">
        <v>10</v>
      </c>
      <c r="F68" s="194"/>
      <c r="H68" s="190"/>
      <c r="I68" s="190"/>
    </row>
    <row r="69" spans="1:9" ht="12.75" customHeight="1" x14ac:dyDescent="0.2">
      <c r="A69" s="192" t="s">
        <v>296</v>
      </c>
      <c r="B69" s="191"/>
      <c r="C69" s="171" t="s">
        <v>279</v>
      </c>
      <c r="D69" s="186" t="s">
        <v>278</v>
      </c>
      <c r="E69" s="183" t="s">
        <v>291</v>
      </c>
      <c r="F69" s="182"/>
      <c r="H69" s="190"/>
      <c r="I69" s="190"/>
    </row>
    <row r="70" spans="1:9" ht="12.75" customHeight="1" x14ac:dyDescent="0.2">
      <c r="A70" s="192" t="s">
        <v>295</v>
      </c>
      <c r="B70" s="191"/>
      <c r="C70" s="171" t="s">
        <v>279</v>
      </c>
      <c r="D70" s="186" t="s">
        <v>278</v>
      </c>
      <c r="E70" s="183" t="s">
        <v>291</v>
      </c>
      <c r="F70" s="182"/>
      <c r="H70" s="190"/>
      <c r="I70" s="190"/>
    </row>
    <row r="71" spans="1:9" ht="12.75" customHeight="1" x14ac:dyDescent="0.2">
      <c r="A71" s="192" t="s">
        <v>294</v>
      </c>
      <c r="B71" s="191"/>
      <c r="C71" s="171" t="s">
        <v>282</v>
      </c>
      <c r="D71" s="186" t="s">
        <v>278</v>
      </c>
      <c r="E71" s="183" t="s">
        <v>291</v>
      </c>
      <c r="F71" s="182"/>
      <c r="H71" s="190"/>
      <c r="I71" s="190"/>
    </row>
    <row r="72" spans="1:9" ht="12.75" customHeight="1" x14ac:dyDescent="0.2">
      <c r="A72" s="192" t="s">
        <v>293</v>
      </c>
      <c r="B72" s="191"/>
      <c r="C72" s="171" t="s">
        <v>279</v>
      </c>
      <c r="D72" s="186" t="s">
        <v>278</v>
      </c>
      <c r="E72" s="183" t="s">
        <v>291</v>
      </c>
      <c r="F72" s="182"/>
      <c r="H72" s="190"/>
      <c r="I72" s="190"/>
    </row>
    <row r="73" spans="1:9" ht="12.75" customHeight="1" x14ac:dyDescent="0.2">
      <c r="A73" s="192" t="s">
        <v>292</v>
      </c>
      <c r="B73" s="191"/>
      <c r="C73" s="171" t="s">
        <v>282</v>
      </c>
      <c r="D73" s="186" t="s">
        <v>278</v>
      </c>
      <c r="E73" s="183" t="s">
        <v>291</v>
      </c>
      <c r="F73" s="182"/>
      <c r="H73" s="190"/>
      <c r="I73" s="190"/>
    </row>
    <row r="74" spans="1:9" ht="12.75" customHeight="1" x14ac:dyDescent="0.2">
      <c r="A74" s="179" t="s">
        <v>290</v>
      </c>
      <c r="B74" s="193"/>
      <c r="C74" s="178"/>
      <c r="D74" s="178"/>
      <c r="E74" s="177"/>
      <c r="F74" s="176"/>
      <c r="H74" s="190"/>
      <c r="I74" s="190"/>
    </row>
    <row r="75" spans="1:9" ht="12.75" customHeight="1" x14ac:dyDescent="0.2">
      <c r="A75" s="192" t="s">
        <v>289</v>
      </c>
      <c r="B75" s="191"/>
      <c r="C75" s="171" t="s">
        <v>282</v>
      </c>
      <c r="D75" s="186" t="s">
        <v>278</v>
      </c>
      <c r="E75" s="183" t="s">
        <v>277</v>
      </c>
      <c r="F75" s="182"/>
      <c r="H75" s="190"/>
      <c r="I75" s="190"/>
    </row>
    <row r="76" spans="1:9" ht="12.75" customHeight="1" x14ac:dyDescent="0.2">
      <c r="A76" s="192" t="s">
        <v>288</v>
      </c>
      <c r="B76" s="191"/>
      <c r="C76" s="171" t="s">
        <v>282</v>
      </c>
      <c r="D76" s="186" t="s">
        <v>278</v>
      </c>
      <c r="E76" s="183" t="s">
        <v>277</v>
      </c>
      <c r="F76" s="182"/>
      <c r="H76" s="190"/>
      <c r="I76" s="190"/>
    </row>
    <row r="77" spans="1:9" ht="12.75" customHeight="1" x14ac:dyDescent="0.2">
      <c r="A77" s="192" t="s">
        <v>287</v>
      </c>
      <c r="B77" s="191"/>
      <c r="C77" s="171" t="s">
        <v>282</v>
      </c>
      <c r="D77" s="186" t="s">
        <v>278</v>
      </c>
      <c r="E77" s="183" t="s">
        <v>277</v>
      </c>
      <c r="F77" s="182"/>
      <c r="H77" s="190"/>
      <c r="I77" s="190"/>
    </row>
    <row r="78" spans="1:9" ht="12.75" customHeight="1" x14ac:dyDescent="0.2">
      <c r="A78" s="192" t="s">
        <v>286</v>
      </c>
      <c r="B78" s="191"/>
      <c r="C78" s="171" t="s">
        <v>279</v>
      </c>
      <c r="D78" s="186" t="s">
        <v>278</v>
      </c>
      <c r="E78" s="183" t="s">
        <v>277</v>
      </c>
      <c r="F78" s="182"/>
      <c r="H78" s="190"/>
      <c r="I78" s="190"/>
    </row>
    <row r="79" spans="1:9" ht="12.75" customHeight="1" x14ac:dyDescent="0.2">
      <c r="A79" s="192" t="s">
        <v>285</v>
      </c>
      <c r="B79" s="191"/>
      <c r="C79" s="171" t="s">
        <v>279</v>
      </c>
      <c r="D79" s="186" t="s">
        <v>278</v>
      </c>
      <c r="E79" s="183" t="s">
        <v>277</v>
      </c>
      <c r="F79" s="182"/>
      <c r="H79" s="190"/>
      <c r="I79" s="190"/>
    </row>
    <row r="80" spans="1:9" ht="12.75" customHeight="1" x14ac:dyDescent="0.2">
      <c r="A80" s="192" t="s">
        <v>284</v>
      </c>
      <c r="B80" s="191"/>
      <c r="C80" s="171" t="s">
        <v>282</v>
      </c>
      <c r="D80" s="186" t="s">
        <v>278</v>
      </c>
      <c r="E80" s="183" t="s">
        <v>277</v>
      </c>
      <c r="F80" s="182"/>
      <c r="H80" s="190"/>
      <c r="I80" s="190"/>
    </row>
    <row r="81" spans="1:9" ht="12.75" customHeight="1" x14ac:dyDescent="0.2">
      <c r="A81" s="192" t="s">
        <v>283</v>
      </c>
      <c r="B81" s="191"/>
      <c r="C81" s="171" t="s">
        <v>282</v>
      </c>
      <c r="D81" s="186" t="s">
        <v>278</v>
      </c>
      <c r="E81" s="183" t="s">
        <v>277</v>
      </c>
      <c r="F81" s="182"/>
      <c r="H81" s="190"/>
      <c r="I81" s="190"/>
    </row>
    <row r="82" spans="1:9" ht="12.75" customHeight="1" x14ac:dyDescent="0.2">
      <c r="A82" s="192" t="s">
        <v>281</v>
      </c>
      <c r="B82" s="191"/>
      <c r="C82" s="171" t="s">
        <v>279</v>
      </c>
      <c r="D82" s="186" t="s">
        <v>278</v>
      </c>
      <c r="E82" s="183" t="s">
        <v>277</v>
      </c>
      <c r="F82" s="182"/>
      <c r="H82" s="190"/>
      <c r="I82" s="190"/>
    </row>
    <row r="83" spans="1:9" ht="12.75" customHeight="1" x14ac:dyDescent="0.2">
      <c r="A83" s="192" t="s">
        <v>280</v>
      </c>
      <c r="B83" s="191"/>
      <c r="C83" s="171" t="s">
        <v>279</v>
      </c>
      <c r="D83" s="186" t="s">
        <v>278</v>
      </c>
      <c r="E83" s="183" t="s">
        <v>277</v>
      </c>
      <c r="F83" s="182"/>
      <c r="H83" s="190"/>
      <c r="I83" s="190"/>
    </row>
    <row r="84" spans="1:9" ht="12.75" customHeight="1" x14ac:dyDescent="0.2">
      <c r="A84" s="192"/>
      <c r="B84" s="191"/>
      <c r="C84" s="191"/>
      <c r="D84" s="186"/>
      <c r="E84" s="183"/>
      <c r="F84" s="182"/>
      <c r="H84" s="190"/>
      <c r="I84" s="190"/>
    </row>
    <row r="85" spans="1:9" ht="31.5" customHeight="1" x14ac:dyDescent="0.2">
      <c r="A85" s="347" t="s">
        <v>276</v>
      </c>
      <c r="B85" s="348"/>
      <c r="C85" s="348"/>
      <c r="D85" s="189" t="s">
        <v>256</v>
      </c>
      <c r="E85" s="180">
        <f>'Email BW Data'!B69</f>
        <v>1801.7888888888888</v>
      </c>
      <c r="F85" s="169" t="s">
        <v>8</v>
      </c>
    </row>
    <row r="86" spans="1:9" ht="31.5" x14ac:dyDescent="0.2">
      <c r="A86" s="350"/>
      <c r="B86" s="351"/>
      <c r="C86" s="351"/>
      <c r="D86" s="189" t="s">
        <v>275</v>
      </c>
      <c r="E86" s="180">
        <f>'Email BW Data'!B78</f>
        <v>435.72222222222223</v>
      </c>
      <c r="F86" s="169" t="s">
        <v>8</v>
      </c>
    </row>
    <row r="87" spans="1:9" ht="12.75" customHeight="1" x14ac:dyDescent="0.2">
      <c r="A87" s="330" t="s">
        <v>274</v>
      </c>
      <c r="B87" s="331"/>
      <c r="C87" s="178"/>
      <c r="D87" s="178"/>
      <c r="E87" s="177"/>
      <c r="F87" s="176"/>
    </row>
    <row r="88" spans="1:9" ht="12.75" customHeight="1" x14ac:dyDescent="0.2">
      <c r="A88" s="330" t="s">
        <v>209</v>
      </c>
      <c r="B88" s="331"/>
      <c r="C88" s="178" t="s">
        <v>208</v>
      </c>
      <c r="D88" s="178" t="s">
        <v>11</v>
      </c>
      <c r="E88" s="177" t="s">
        <v>10</v>
      </c>
      <c r="F88" s="176"/>
    </row>
    <row r="89" spans="1:9" ht="12.75" customHeight="1" x14ac:dyDescent="0.2">
      <c r="A89" s="187" t="s">
        <v>507</v>
      </c>
      <c r="B89" s="186"/>
      <c r="C89" s="171">
        <v>20</v>
      </c>
      <c r="D89" s="185" t="s">
        <v>270</v>
      </c>
      <c r="E89" s="183" t="s">
        <v>272</v>
      </c>
      <c r="F89" s="182"/>
    </row>
    <row r="90" spans="1:9" ht="12.75" customHeight="1" x14ac:dyDescent="0.2">
      <c r="A90" s="187" t="s">
        <v>508</v>
      </c>
      <c r="B90" s="186"/>
      <c r="C90" s="171">
        <v>1</v>
      </c>
      <c r="D90" s="185" t="s">
        <v>270</v>
      </c>
      <c r="E90" s="183" t="s">
        <v>269</v>
      </c>
      <c r="F90" s="182"/>
    </row>
    <row r="91" spans="1:9" ht="12.75" customHeight="1" x14ac:dyDescent="0.2">
      <c r="A91" s="187" t="s">
        <v>268</v>
      </c>
      <c r="B91" s="186"/>
      <c r="C91" s="171">
        <v>10</v>
      </c>
      <c r="D91" s="185" t="s">
        <v>35</v>
      </c>
      <c r="E91" s="183" t="s">
        <v>267</v>
      </c>
      <c r="F91" s="182"/>
    </row>
    <row r="92" spans="1:9" ht="12.75" customHeight="1" x14ac:dyDescent="0.2">
      <c r="A92" s="187" t="s">
        <v>266</v>
      </c>
      <c r="B92" s="186"/>
      <c r="C92" s="171">
        <v>600</v>
      </c>
      <c r="D92" s="185" t="s">
        <v>227</v>
      </c>
      <c r="E92" s="183" t="s">
        <v>265</v>
      </c>
      <c r="F92" s="182"/>
    </row>
    <row r="93" spans="1:9" ht="12.75" customHeight="1" x14ac:dyDescent="0.2">
      <c r="A93" s="187" t="s">
        <v>264</v>
      </c>
      <c r="B93" s="186"/>
      <c r="C93" s="171">
        <v>60</v>
      </c>
      <c r="D93" s="185" t="s">
        <v>263</v>
      </c>
      <c r="E93" s="183" t="s">
        <v>262</v>
      </c>
      <c r="F93" s="182"/>
    </row>
    <row r="94" spans="1:9" ht="12.75" customHeight="1" x14ac:dyDescent="0.2">
      <c r="A94" s="187" t="s">
        <v>261</v>
      </c>
      <c r="B94" s="186"/>
      <c r="C94" s="171">
        <v>35</v>
      </c>
      <c r="D94" s="185" t="s">
        <v>227</v>
      </c>
      <c r="E94" s="183" t="s">
        <v>260</v>
      </c>
      <c r="F94" s="182"/>
    </row>
    <row r="95" spans="1:9" ht="12.75" customHeight="1" x14ac:dyDescent="0.2">
      <c r="A95" s="187" t="s">
        <v>259</v>
      </c>
      <c r="B95" s="186"/>
      <c r="C95" s="171">
        <v>5</v>
      </c>
      <c r="D95" s="185" t="s">
        <v>227</v>
      </c>
      <c r="E95" s="183" t="s">
        <v>258</v>
      </c>
      <c r="F95" s="182"/>
    </row>
    <row r="96" spans="1:9" ht="32.25" customHeight="1" x14ac:dyDescent="0.2">
      <c r="A96" s="340" t="s">
        <v>257</v>
      </c>
      <c r="B96" s="341"/>
      <c r="C96" s="341"/>
      <c r="D96" s="189" t="s">
        <v>256</v>
      </c>
      <c r="E96" s="180">
        <f>'Chat BW Data'!B31</f>
        <v>8163.5555555555557</v>
      </c>
      <c r="F96" s="169" t="s">
        <v>8</v>
      </c>
    </row>
    <row r="97" spans="1:6" ht="12.75" customHeight="1" x14ac:dyDescent="0.2">
      <c r="A97" s="330" t="s">
        <v>255</v>
      </c>
      <c r="B97" s="331"/>
      <c r="C97" s="178"/>
      <c r="D97" s="178"/>
      <c r="E97" s="177"/>
      <c r="F97" s="176"/>
    </row>
    <row r="98" spans="1:6" ht="12.75" customHeight="1" x14ac:dyDescent="0.2">
      <c r="A98" s="330" t="s">
        <v>209</v>
      </c>
      <c r="B98" s="331"/>
      <c r="C98" s="178" t="s">
        <v>208</v>
      </c>
      <c r="D98" s="178" t="s">
        <v>11</v>
      </c>
      <c r="E98" s="177" t="s">
        <v>10</v>
      </c>
      <c r="F98" s="176"/>
    </row>
    <row r="99" spans="1:6" ht="12.75" customHeight="1" x14ac:dyDescent="0.2">
      <c r="A99" s="187" t="s">
        <v>509</v>
      </c>
      <c r="B99" s="186"/>
      <c r="C99" s="171">
        <v>3200</v>
      </c>
      <c r="D99" s="185" t="s">
        <v>227</v>
      </c>
      <c r="E99" s="183" t="s">
        <v>253</v>
      </c>
      <c r="F99" s="182"/>
    </row>
    <row r="100" spans="1:6" ht="12.75" customHeight="1" x14ac:dyDescent="0.2">
      <c r="A100" s="187" t="s">
        <v>252</v>
      </c>
      <c r="B100" s="186"/>
      <c r="C100" s="171">
        <v>10</v>
      </c>
      <c r="D100" s="185" t="s">
        <v>35</v>
      </c>
      <c r="E100" s="183" t="s">
        <v>251</v>
      </c>
      <c r="F100" s="182"/>
    </row>
    <row r="101" spans="1:6" ht="12.75" customHeight="1" x14ac:dyDescent="0.2">
      <c r="A101" s="187" t="s">
        <v>250</v>
      </c>
      <c r="B101" s="186"/>
      <c r="C101" s="171">
        <v>20</v>
      </c>
      <c r="D101" s="185" t="s">
        <v>227</v>
      </c>
      <c r="E101" s="183" t="s">
        <v>249</v>
      </c>
      <c r="F101" s="182"/>
    </row>
    <row r="102" spans="1:6" ht="12.75" customHeight="1" x14ac:dyDescent="0.2">
      <c r="A102" s="187" t="s">
        <v>248</v>
      </c>
      <c r="B102" s="186"/>
      <c r="C102" s="171">
        <v>100</v>
      </c>
      <c r="D102" s="185" t="s">
        <v>247</v>
      </c>
      <c r="E102" s="183" t="s">
        <v>246</v>
      </c>
      <c r="F102" s="182"/>
    </row>
    <row r="103" spans="1:6" ht="26.25" customHeight="1" x14ac:dyDescent="0.2">
      <c r="A103" s="340" t="s">
        <v>245</v>
      </c>
      <c r="B103" s="341"/>
      <c r="C103" s="341"/>
      <c r="D103" s="188"/>
      <c r="E103" s="180">
        <f>'EDBS BW Data'!B23</f>
        <v>87.326388888888886</v>
      </c>
      <c r="F103" s="169" t="s">
        <v>8</v>
      </c>
    </row>
    <row r="104" spans="1:6" ht="12.75" customHeight="1" x14ac:dyDescent="0.2">
      <c r="A104" s="179" t="s">
        <v>244</v>
      </c>
      <c r="B104" s="178"/>
      <c r="C104" s="178"/>
      <c r="D104" s="178"/>
      <c r="E104" s="177"/>
      <c r="F104" s="176"/>
    </row>
    <row r="105" spans="1:6" ht="12.75" customHeight="1" x14ac:dyDescent="0.2">
      <c r="A105" s="179" t="s">
        <v>209</v>
      </c>
      <c r="B105" s="178"/>
      <c r="C105" s="178" t="s">
        <v>208</v>
      </c>
      <c r="D105" s="178" t="s">
        <v>207</v>
      </c>
      <c r="E105" s="177"/>
      <c r="F105" s="176"/>
    </row>
    <row r="106" spans="1:6" ht="12.75" customHeight="1" x14ac:dyDescent="0.2">
      <c r="A106" s="187" t="s">
        <v>505</v>
      </c>
      <c r="B106" s="186"/>
      <c r="C106" s="171">
        <v>200</v>
      </c>
      <c r="D106" s="185" t="s">
        <v>227</v>
      </c>
      <c r="E106" s="183" t="s">
        <v>243</v>
      </c>
      <c r="F106" s="182"/>
    </row>
    <row r="107" spans="1:6" ht="12.75" customHeight="1" x14ac:dyDescent="0.2">
      <c r="A107" s="187" t="s">
        <v>233</v>
      </c>
      <c r="B107" s="186"/>
      <c r="C107" s="171">
        <v>10</v>
      </c>
      <c r="D107" s="185" t="s">
        <v>232</v>
      </c>
      <c r="E107" s="183" t="s">
        <v>242</v>
      </c>
      <c r="F107" s="182"/>
    </row>
    <row r="108" spans="1:6" ht="12.75" customHeight="1" x14ac:dyDescent="0.2">
      <c r="A108" s="187" t="s">
        <v>241</v>
      </c>
      <c r="B108" s="186"/>
      <c r="C108" s="171">
        <v>200</v>
      </c>
      <c r="D108" s="185" t="s">
        <v>229</v>
      </c>
      <c r="E108" s="183"/>
      <c r="F108" s="182"/>
    </row>
    <row r="109" spans="1:6" ht="12.75" customHeight="1" x14ac:dyDescent="0.2">
      <c r="A109" s="187" t="s">
        <v>240</v>
      </c>
      <c r="B109" s="186"/>
      <c r="C109" s="171">
        <v>500</v>
      </c>
      <c r="D109" s="185" t="s">
        <v>229</v>
      </c>
      <c r="E109" s="183"/>
      <c r="F109" s="182"/>
    </row>
    <row r="110" spans="1:6" ht="12.75" customHeight="1" x14ac:dyDescent="0.2">
      <c r="A110" s="187" t="s">
        <v>239</v>
      </c>
      <c r="B110" s="186"/>
      <c r="C110" s="171">
        <v>2</v>
      </c>
      <c r="D110" s="185" t="s">
        <v>227</v>
      </c>
      <c r="E110" s="183" t="s">
        <v>238</v>
      </c>
      <c r="F110" s="182"/>
    </row>
    <row r="111" spans="1:6" ht="26.25" customHeight="1" x14ac:dyDescent="0.2">
      <c r="A111" s="340" t="s">
        <v>237</v>
      </c>
      <c r="B111" s="341"/>
      <c r="C111" s="341"/>
      <c r="D111" s="188"/>
      <c r="E111" s="180">
        <f>'REST APIs BW Data'!B23</f>
        <v>144.44444444444446</v>
      </c>
      <c r="F111" s="169" t="s">
        <v>8</v>
      </c>
    </row>
    <row r="112" spans="1:6" x14ac:dyDescent="0.2">
      <c r="A112" s="179" t="s">
        <v>236</v>
      </c>
      <c r="B112" s="178"/>
      <c r="C112" s="178"/>
      <c r="D112" s="178"/>
      <c r="E112" s="177"/>
      <c r="F112" s="176"/>
    </row>
    <row r="113" spans="1:6" x14ac:dyDescent="0.2">
      <c r="A113" s="179" t="s">
        <v>209</v>
      </c>
      <c r="B113" s="178"/>
      <c r="C113" s="178" t="s">
        <v>208</v>
      </c>
      <c r="D113" s="178" t="s">
        <v>207</v>
      </c>
      <c r="E113" s="177"/>
      <c r="F113" s="176"/>
    </row>
    <row r="114" spans="1:6" x14ac:dyDescent="0.2">
      <c r="A114" s="187" t="s">
        <v>506</v>
      </c>
      <c r="B114" s="186"/>
      <c r="C114" s="171">
        <v>200</v>
      </c>
      <c r="D114" s="185" t="s">
        <v>227</v>
      </c>
      <c r="E114" s="183" t="s">
        <v>234</v>
      </c>
      <c r="F114" s="182"/>
    </row>
    <row r="115" spans="1:6" x14ac:dyDescent="0.2">
      <c r="A115" s="187" t="s">
        <v>233</v>
      </c>
      <c r="B115" s="186"/>
      <c r="C115" s="171">
        <v>10</v>
      </c>
      <c r="D115" s="185" t="s">
        <v>232</v>
      </c>
      <c r="E115" s="183"/>
      <c r="F115" s="182"/>
    </row>
    <row r="116" spans="1:6" x14ac:dyDescent="0.2">
      <c r="A116" s="187" t="s">
        <v>231</v>
      </c>
      <c r="B116" s="186"/>
      <c r="C116" s="171">
        <v>128</v>
      </c>
      <c r="D116" s="185" t="s">
        <v>229</v>
      </c>
      <c r="E116" s="183"/>
      <c r="F116" s="182"/>
    </row>
    <row r="117" spans="1:6" x14ac:dyDescent="0.2">
      <c r="A117" s="187" t="s">
        <v>230</v>
      </c>
      <c r="B117" s="186"/>
      <c r="C117" s="171">
        <v>128</v>
      </c>
      <c r="D117" s="185" t="s">
        <v>229</v>
      </c>
      <c r="E117" s="183"/>
      <c r="F117" s="182"/>
    </row>
    <row r="118" spans="1:6" x14ac:dyDescent="0.2">
      <c r="A118" s="332" t="s">
        <v>228</v>
      </c>
      <c r="B118" s="333"/>
      <c r="C118" s="171">
        <v>2</v>
      </c>
      <c r="D118" s="185" t="s">
        <v>227</v>
      </c>
      <c r="E118" s="183" t="s">
        <v>226</v>
      </c>
      <c r="F118" s="182"/>
    </row>
    <row r="119" spans="1:6" ht="26.25" x14ac:dyDescent="0.2">
      <c r="A119" s="340" t="s">
        <v>225</v>
      </c>
      <c r="B119" s="341"/>
      <c r="C119" s="341"/>
      <c r="D119" s="181"/>
      <c r="E119" s="180">
        <f>'CUIC Reporting BW Data'!B37</f>
        <v>22839.561091340449</v>
      </c>
      <c r="F119" s="169" t="s">
        <v>8</v>
      </c>
    </row>
    <row r="120" spans="1:6" x14ac:dyDescent="0.2">
      <c r="A120" s="179" t="s">
        <v>224</v>
      </c>
      <c r="B120" s="178"/>
      <c r="C120" s="178"/>
      <c r="D120" s="178"/>
      <c r="E120" s="177"/>
      <c r="F120" s="176"/>
    </row>
    <row r="121" spans="1:6" ht="12.75" customHeight="1" x14ac:dyDescent="0.2">
      <c r="A121" s="179" t="s">
        <v>209</v>
      </c>
      <c r="B121" s="178"/>
      <c r="C121" s="178" t="s">
        <v>208</v>
      </c>
      <c r="D121" s="178" t="s">
        <v>207</v>
      </c>
      <c r="E121" s="177"/>
      <c r="F121" s="176"/>
    </row>
    <row r="122" spans="1:6" x14ac:dyDescent="0.2">
      <c r="A122" s="338" t="s">
        <v>223</v>
      </c>
      <c r="B122" s="339"/>
      <c r="C122" s="171">
        <v>1</v>
      </c>
      <c r="D122" s="69" t="s">
        <v>206</v>
      </c>
      <c r="E122" s="183"/>
      <c r="F122" s="182"/>
    </row>
    <row r="123" spans="1:6" x14ac:dyDescent="0.2">
      <c r="A123" s="338" t="s">
        <v>222</v>
      </c>
      <c r="B123" s="339"/>
      <c r="C123" s="171">
        <v>1000</v>
      </c>
      <c r="D123" s="69" t="s">
        <v>206</v>
      </c>
      <c r="E123" s="183"/>
      <c r="F123" s="182"/>
    </row>
    <row r="124" spans="1:6" x14ac:dyDescent="0.2">
      <c r="A124" s="338" t="s">
        <v>221</v>
      </c>
      <c r="B124" s="339"/>
      <c r="C124" s="171">
        <v>20</v>
      </c>
      <c r="D124" s="69" t="s">
        <v>206</v>
      </c>
      <c r="E124" s="183"/>
      <c r="F124" s="182"/>
    </row>
    <row r="125" spans="1:6" x14ac:dyDescent="0.2">
      <c r="A125" s="338" t="s">
        <v>220</v>
      </c>
      <c r="B125" s="339"/>
      <c r="C125" s="171">
        <v>0.25</v>
      </c>
      <c r="D125" s="69" t="s">
        <v>218</v>
      </c>
      <c r="E125" s="183"/>
      <c r="F125" s="182"/>
    </row>
    <row r="126" spans="1:6" x14ac:dyDescent="0.2">
      <c r="A126" s="338" t="s">
        <v>219</v>
      </c>
      <c r="B126" s="339"/>
      <c r="C126" s="171">
        <v>2</v>
      </c>
      <c r="D126" s="69" t="s">
        <v>218</v>
      </c>
      <c r="E126" s="183"/>
      <c r="F126" s="182"/>
    </row>
    <row r="127" spans="1:6" x14ac:dyDescent="0.2">
      <c r="A127" s="338" t="s">
        <v>217</v>
      </c>
      <c r="B127" s="339"/>
      <c r="C127" s="171">
        <v>0</v>
      </c>
      <c r="D127" s="69" t="s">
        <v>206</v>
      </c>
      <c r="E127" s="183"/>
      <c r="F127" s="182"/>
    </row>
    <row r="128" spans="1:6" x14ac:dyDescent="0.2">
      <c r="A128" s="338" t="s">
        <v>216</v>
      </c>
      <c r="B128" s="339"/>
      <c r="C128" s="171">
        <v>0</v>
      </c>
      <c r="D128" s="69" t="s">
        <v>206</v>
      </c>
      <c r="E128" s="183"/>
      <c r="F128" s="182"/>
    </row>
    <row r="129" spans="1:6" x14ac:dyDescent="0.2">
      <c r="A129" s="338" t="s">
        <v>215</v>
      </c>
      <c r="B129" s="339"/>
      <c r="C129" s="171">
        <v>1</v>
      </c>
      <c r="D129" s="69" t="s">
        <v>206</v>
      </c>
      <c r="E129" s="183"/>
      <c r="F129" s="182"/>
    </row>
    <row r="130" spans="1:6" x14ac:dyDescent="0.2">
      <c r="A130" s="338" t="s">
        <v>214</v>
      </c>
      <c r="B130" s="339"/>
      <c r="C130" s="171">
        <v>1</v>
      </c>
      <c r="D130" s="69" t="s">
        <v>206</v>
      </c>
      <c r="E130" s="183"/>
      <c r="F130" s="182"/>
    </row>
    <row r="131" spans="1:6" x14ac:dyDescent="0.2">
      <c r="A131" s="338" t="s">
        <v>213</v>
      </c>
      <c r="B131" s="339"/>
      <c r="C131" s="171">
        <v>1</v>
      </c>
      <c r="D131" s="69" t="s">
        <v>206</v>
      </c>
      <c r="E131" s="183"/>
      <c r="F131" s="182"/>
    </row>
    <row r="132" spans="1:6" x14ac:dyDescent="0.2">
      <c r="A132" s="338" t="s">
        <v>212</v>
      </c>
      <c r="B132" s="339"/>
      <c r="C132" s="171">
        <v>300</v>
      </c>
      <c r="D132" s="69" t="s">
        <v>206</v>
      </c>
      <c r="E132" s="183"/>
      <c r="F132" s="182"/>
    </row>
    <row r="133" spans="1:6" ht="26.25" x14ac:dyDescent="0.2">
      <c r="A133" s="340" t="s">
        <v>211</v>
      </c>
      <c r="B133" s="341"/>
      <c r="C133" s="341"/>
      <c r="D133" s="181"/>
      <c r="E133" s="180">
        <f>'Fippa BW Data'!B8</f>
        <v>2.5</v>
      </c>
      <c r="F133" s="169" t="s">
        <v>8</v>
      </c>
    </row>
    <row r="134" spans="1:6" x14ac:dyDescent="0.2">
      <c r="A134" s="179" t="s">
        <v>210</v>
      </c>
      <c r="B134" s="178"/>
      <c r="C134" s="178"/>
      <c r="D134" s="178"/>
      <c r="E134" s="177"/>
      <c r="F134" s="176"/>
    </row>
    <row r="135" spans="1:6" ht="12.75" customHeight="1" x14ac:dyDescent="0.2">
      <c r="A135" s="179" t="s">
        <v>209</v>
      </c>
      <c r="B135" s="178"/>
      <c r="C135" s="178" t="s">
        <v>208</v>
      </c>
      <c r="D135" s="178" t="s">
        <v>207</v>
      </c>
      <c r="E135" s="177"/>
      <c r="F135" s="176"/>
    </row>
    <row r="136" spans="1:6" ht="13.5" thickBot="1" x14ac:dyDescent="0.25">
      <c r="A136" s="338" t="s">
        <v>510</v>
      </c>
      <c r="B136" s="339"/>
      <c r="C136" s="175">
        <v>5</v>
      </c>
      <c r="D136" s="174" t="s">
        <v>206</v>
      </c>
      <c r="E136" s="173" t="s">
        <v>205</v>
      </c>
      <c r="F136" s="172"/>
    </row>
    <row r="138" spans="1:6" ht="26.25" hidden="1" x14ac:dyDescent="0.2">
      <c r="A138" s="340" t="s">
        <v>204</v>
      </c>
      <c r="B138" s="341"/>
      <c r="C138" s="341"/>
      <c r="D138" s="171">
        <v>1.2</v>
      </c>
      <c r="E138" s="170"/>
      <c r="F138" s="169"/>
    </row>
    <row r="140" spans="1:6" x14ac:dyDescent="0.2">
      <c r="B140" s="167"/>
      <c r="C140" s="167"/>
    </row>
    <row r="141" spans="1:6" x14ac:dyDescent="0.2">
      <c r="B141" s="167"/>
      <c r="C141" s="167"/>
    </row>
    <row r="148" spans="1:2" ht="117.75" customHeight="1" x14ac:dyDescent="0.2">
      <c r="A148" s="334" t="s">
        <v>131</v>
      </c>
      <c r="B148" s="334"/>
    </row>
  </sheetData>
  <sheetProtection selectLockedCells="1" selectUnlockedCells="1"/>
  <mergeCells count="34">
    <mergeCell ref="A111:C111"/>
    <mergeCell ref="A119:C119"/>
    <mergeCell ref="A133:C133"/>
    <mergeCell ref="A132:B132"/>
    <mergeCell ref="A124:B124"/>
    <mergeCell ref="A123:B123"/>
    <mergeCell ref="A1:F1"/>
    <mergeCell ref="C9:F9"/>
    <mergeCell ref="A14:C14"/>
    <mergeCell ref="A97:B97"/>
    <mergeCell ref="A6:C7"/>
    <mergeCell ref="A66:C67"/>
    <mergeCell ref="A85:C86"/>
    <mergeCell ref="A96:C96"/>
    <mergeCell ref="A88:B88"/>
    <mergeCell ref="A87:B87"/>
    <mergeCell ref="E8:F8"/>
    <mergeCell ref="A3:C4"/>
    <mergeCell ref="A98:B98"/>
    <mergeCell ref="A118:B118"/>
    <mergeCell ref="A148:B148"/>
    <mergeCell ref="A33:E33"/>
    <mergeCell ref="A36:E36"/>
    <mergeCell ref="A136:B136"/>
    <mergeCell ref="A129:B129"/>
    <mergeCell ref="A130:B130"/>
    <mergeCell ref="A122:B122"/>
    <mergeCell ref="A131:B131"/>
    <mergeCell ref="A138:C138"/>
    <mergeCell ref="A128:B128"/>
    <mergeCell ref="A127:B127"/>
    <mergeCell ref="A126:B126"/>
    <mergeCell ref="A125:B125"/>
    <mergeCell ref="A103:C103"/>
  </mergeCells>
  <conditionalFormatting sqref="C25">
    <cfRule type="cellIs" dxfId="3" priority="1" stopIfTrue="1" operator="equal">
      <formula>1</formula>
    </cfRule>
    <cfRule type="cellIs" dxfId="2" priority="2" stopIfTrue="1" operator="notEqual">
      <formula>1</formula>
    </cfRule>
  </conditionalFormatting>
  <dataValidations count="1">
    <dataValidation type="list" allowBlank="1" showInputMessage="1" showErrorMessage="1" sqref="C69:C73 C75:C84" xr:uid="{00000000-0002-0000-0100-000000000000}">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2853-65AA-4A18-AA4A-E90DDA3C09EF}">
  <dimension ref="A1:H124"/>
  <sheetViews>
    <sheetView zoomScale="110" zoomScaleNormal="110" zoomScalePageLayoutView="200" workbookViewId="0">
      <selection activeCell="B41" sqref="B41"/>
    </sheetView>
  </sheetViews>
  <sheetFormatPr defaultColWidth="8.85546875" defaultRowHeight="12.75" x14ac:dyDescent="0.2"/>
  <cols>
    <col min="1" max="1" width="64.28515625" customWidth="1"/>
    <col min="2" max="2" width="16.85546875" style="3" customWidth="1"/>
    <col min="3" max="3" width="16.85546875" customWidth="1"/>
    <col min="4" max="4" width="60.7109375" style="7" customWidth="1"/>
  </cols>
  <sheetData>
    <row r="1" spans="1:4" ht="15.95" customHeight="1" x14ac:dyDescent="0.25">
      <c r="A1" s="55" t="s">
        <v>71</v>
      </c>
      <c r="B1" s="56"/>
      <c r="C1" s="57"/>
      <c r="D1" s="58"/>
    </row>
    <row r="2" spans="1:4" ht="15.95" customHeight="1" thickBot="1" x14ac:dyDescent="0.3">
      <c r="A2" s="59" t="s">
        <v>527</v>
      </c>
      <c r="B2" s="60"/>
      <c r="C2" s="61"/>
      <c r="D2" s="62"/>
    </row>
    <row r="3" spans="1:4" ht="12.75" customHeight="1" x14ac:dyDescent="0.2"/>
    <row r="4" spans="1:4" ht="12.75" customHeight="1" x14ac:dyDescent="0.2">
      <c r="A4" s="157"/>
      <c r="B4"/>
    </row>
    <row r="5" spans="1:4" ht="12.75" hidden="1" customHeight="1" thickBot="1" x14ac:dyDescent="0.25"/>
    <row r="6" spans="1:4" ht="13.5" thickBot="1" x14ac:dyDescent="0.25"/>
    <row r="7" spans="1:4" ht="26.25" thickBot="1" x14ac:dyDescent="0.25">
      <c r="A7" s="12" t="s">
        <v>46</v>
      </c>
      <c r="B7" s="142" t="s">
        <v>157</v>
      </c>
      <c r="C7" s="13" t="s">
        <v>11</v>
      </c>
      <c r="D7" s="14" t="s">
        <v>10</v>
      </c>
    </row>
    <row r="8" spans="1:4" ht="15.95" customHeight="1" thickBot="1" x14ac:dyDescent="0.25">
      <c r="A8" s="360" t="s">
        <v>2</v>
      </c>
      <c r="B8" s="361"/>
      <c r="C8" s="361"/>
      <c r="D8" s="362"/>
    </row>
    <row r="9" spans="1:4" ht="12.75" customHeight="1" x14ac:dyDescent="0.2">
      <c r="A9" s="28" t="s">
        <v>1</v>
      </c>
      <c r="B9" s="321">
        <f>'Bandwidth Calculator'!C10</f>
        <v>200</v>
      </c>
      <c r="C9" s="27" t="s">
        <v>23</v>
      </c>
      <c r="D9" s="29" t="s">
        <v>151</v>
      </c>
    </row>
    <row r="10" spans="1:4" ht="12.75" customHeight="1" x14ac:dyDescent="0.2">
      <c r="A10" s="16" t="s">
        <v>30</v>
      </c>
      <c r="B10" s="322">
        <f>'Bandwidth Calculator'!C11</f>
        <v>8</v>
      </c>
      <c r="C10" s="9" t="s">
        <v>31</v>
      </c>
      <c r="D10" s="15" t="s">
        <v>34</v>
      </c>
    </row>
    <row r="11" spans="1:4" ht="12.75" hidden="1" customHeight="1" x14ac:dyDescent="0.2">
      <c r="A11" s="91" t="s">
        <v>69</v>
      </c>
      <c r="B11" s="323">
        <v>0</v>
      </c>
      <c r="C11" s="92" t="s">
        <v>32</v>
      </c>
      <c r="D11" s="93" t="s">
        <v>33</v>
      </c>
    </row>
    <row r="12" spans="1:4" ht="73.5" customHeight="1" x14ac:dyDescent="0.2">
      <c r="A12" s="94" t="s">
        <v>121</v>
      </c>
      <c r="B12" s="324">
        <f>'Bandwidth Calculator'!C13</f>
        <v>5</v>
      </c>
      <c r="C12" s="95" t="s">
        <v>120</v>
      </c>
      <c r="D12" s="114" t="s">
        <v>152</v>
      </c>
    </row>
    <row r="13" spans="1:4" ht="15.95" customHeight="1" thickBot="1" x14ac:dyDescent="0.25">
      <c r="A13" s="363" t="s">
        <v>20</v>
      </c>
      <c r="B13" s="364"/>
      <c r="C13" s="364"/>
      <c r="D13" s="365"/>
    </row>
    <row r="14" spans="1:4" ht="12.75" customHeight="1" x14ac:dyDescent="0.2">
      <c r="A14" s="28" t="s">
        <v>53</v>
      </c>
      <c r="B14" s="325">
        <f>'Bandwidth Calculator'!C16</f>
        <v>6000</v>
      </c>
      <c r="C14" s="37" t="s">
        <v>54</v>
      </c>
      <c r="D14" s="38" t="s">
        <v>67</v>
      </c>
    </row>
    <row r="15" spans="1:4" ht="12.75" customHeight="1" x14ac:dyDescent="0.2">
      <c r="A15" s="28" t="s">
        <v>55</v>
      </c>
      <c r="B15" s="325">
        <f>'Bandwidth Calculator'!C17</f>
        <v>30</v>
      </c>
      <c r="C15" s="37" t="s">
        <v>24</v>
      </c>
      <c r="D15" s="38"/>
    </row>
    <row r="16" spans="1:4" ht="12.75" customHeight="1" x14ac:dyDescent="0.2">
      <c r="A16" s="28" t="s">
        <v>43</v>
      </c>
      <c r="B16" s="36">
        <f>IF(B14&gt;0,(3600*B9)/B14,0)</f>
        <v>120</v>
      </c>
      <c r="C16" s="27" t="s">
        <v>24</v>
      </c>
      <c r="D16" s="29"/>
    </row>
    <row r="17" spans="1:4" ht="12.75" customHeight="1" thickBot="1" x14ac:dyDescent="0.25">
      <c r="A17" s="17" t="s">
        <v>56</v>
      </c>
      <c r="B17" s="45">
        <f>IF((B15+B16)&gt;0,B9/(B15+B16),0)</f>
        <v>1.3333333333333333</v>
      </c>
      <c r="C17" s="10" t="s">
        <v>44</v>
      </c>
      <c r="D17" s="34" t="s">
        <v>51</v>
      </c>
    </row>
    <row r="18" spans="1:4" ht="15.95" customHeight="1" thickBot="1" x14ac:dyDescent="0.25">
      <c r="A18" s="360" t="s">
        <v>39</v>
      </c>
      <c r="B18" s="361"/>
      <c r="C18" s="361"/>
      <c r="D18" s="362"/>
    </row>
    <row r="19" spans="1:4" ht="12.75" customHeight="1" x14ac:dyDescent="0.2">
      <c r="A19" s="26" t="s">
        <v>3</v>
      </c>
      <c r="B19" s="326">
        <f>'Bandwidth Calculator'!C19</f>
        <v>0.9</v>
      </c>
      <c r="C19" s="27" t="s">
        <v>35</v>
      </c>
      <c r="D19" s="366" t="s">
        <v>36</v>
      </c>
    </row>
    <row r="20" spans="1:4" ht="12.75" customHeight="1" x14ac:dyDescent="0.2">
      <c r="A20" s="19" t="s">
        <v>4</v>
      </c>
      <c r="B20" s="327">
        <f>'Bandwidth Calculator'!C20</f>
        <v>0.06</v>
      </c>
      <c r="C20" s="9" t="s">
        <v>35</v>
      </c>
      <c r="D20" s="366"/>
    </row>
    <row r="21" spans="1:4" ht="12.75" hidden="1" customHeight="1" x14ac:dyDescent="0.2">
      <c r="A21" s="70" t="s">
        <v>70</v>
      </c>
      <c r="B21" s="328">
        <v>0</v>
      </c>
      <c r="C21" s="71" t="s">
        <v>35</v>
      </c>
      <c r="D21" s="367" t="s">
        <v>37</v>
      </c>
    </row>
    <row r="22" spans="1:4" ht="12.75" customHeight="1" x14ac:dyDescent="0.2">
      <c r="A22" s="19" t="s">
        <v>5</v>
      </c>
      <c r="B22" s="327">
        <f>'Bandwidth Calculator'!C22</f>
        <v>0.02</v>
      </c>
      <c r="C22" s="35" t="s">
        <v>35</v>
      </c>
      <c r="D22" s="368"/>
    </row>
    <row r="23" spans="1:4" ht="12.75" hidden="1" customHeight="1" x14ac:dyDescent="0.2">
      <c r="A23" s="16" t="s">
        <v>146</v>
      </c>
      <c r="B23" s="327">
        <v>0</v>
      </c>
      <c r="C23" s="35" t="s">
        <v>35</v>
      </c>
      <c r="D23" s="289"/>
    </row>
    <row r="24" spans="1:4" ht="12.75" customHeight="1" x14ac:dyDescent="0.2">
      <c r="A24" s="19" t="s">
        <v>6</v>
      </c>
      <c r="B24" s="327">
        <f>'Bandwidth Calculator'!C24</f>
        <v>0.02</v>
      </c>
      <c r="C24" s="9" t="s">
        <v>35</v>
      </c>
      <c r="D24" s="29" t="s">
        <v>38</v>
      </c>
    </row>
    <row r="25" spans="1:4" ht="12.75" customHeight="1" x14ac:dyDescent="0.2">
      <c r="A25" s="87" t="s">
        <v>7</v>
      </c>
      <c r="B25" s="85">
        <f>SUM(B19:B24)</f>
        <v>1</v>
      </c>
      <c r="C25" s="9" t="s">
        <v>35</v>
      </c>
      <c r="D25" s="86" t="s">
        <v>40</v>
      </c>
    </row>
    <row r="26" spans="1:4" ht="12.75" customHeight="1" x14ac:dyDescent="0.2">
      <c r="A26" s="28" t="s">
        <v>108</v>
      </c>
      <c r="B26" s="326">
        <f>'Bandwidth Calculator'!C26</f>
        <v>0.01</v>
      </c>
      <c r="C26" s="27" t="s">
        <v>35</v>
      </c>
      <c r="D26" s="29"/>
    </row>
    <row r="27" spans="1:4" ht="12.75" customHeight="1" x14ac:dyDescent="0.2">
      <c r="A27" s="28" t="s">
        <v>144</v>
      </c>
      <c r="B27" s="326">
        <f>'Bandwidth Calculator'!C27</f>
        <v>0.01</v>
      </c>
      <c r="C27" s="27" t="s">
        <v>35</v>
      </c>
      <c r="D27" s="123" t="s">
        <v>148</v>
      </c>
    </row>
    <row r="28" spans="1:4" ht="12.75" customHeight="1" thickBot="1" x14ac:dyDescent="0.25">
      <c r="A28" s="28" t="s">
        <v>145</v>
      </c>
      <c r="B28" s="326">
        <f>'Bandwidth Calculator'!C28</f>
        <v>0.01</v>
      </c>
      <c r="C28" s="27" t="s">
        <v>35</v>
      </c>
      <c r="D28" s="123" t="s">
        <v>149</v>
      </c>
    </row>
    <row r="29" spans="1:4" ht="15.95" customHeight="1" thickBot="1" x14ac:dyDescent="0.25">
      <c r="A29" s="360" t="s">
        <v>153</v>
      </c>
      <c r="B29" s="361"/>
      <c r="C29" s="361"/>
      <c r="D29" s="362"/>
    </row>
    <row r="30" spans="1:4" ht="12.75" hidden="1" customHeight="1" thickBot="1" x14ac:dyDescent="0.25">
      <c r="A30" s="79" t="s">
        <v>81</v>
      </c>
      <c r="B30" s="80">
        <v>5</v>
      </c>
      <c r="C30" s="81" t="s">
        <v>9</v>
      </c>
      <c r="D30" s="82" t="s">
        <v>49</v>
      </c>
    </row>
    <row r="31" spans="1:4" ht="12.75" customHeight="1" x14ac:dyDescent="0.2">
      <c r="A31" s="77" t="s">
        <v>79</v>
      </c>
      <c r="B31" s="322">
        <f>'Bandwidth Calculator'!C31</f>
        <v>30</v>
      </c>
      <c r="C31" s="20" t="s">
        <v>23</v>
      </c>
      <c r="D31" s="78" t="s">
        <v>114</v>
      </c>
    </row>
    <row r="32" spans="1:4" ht="12.75" hidden="1" customHeight="1" x14ac:dyDescent="0.2">
      <c r="A32" s="24" t="s">
        <v>155</v>
      </c>
      <c r="B32" s="63">
        <v>0</v>
      </c>
      <c r="C32" s="25" t="s">
        <v>9</v>
      </c>
      <c r="D32" s="83" t="s">
        <v>113</v>
      </c>
    </row>
    <row r="33" spans="1:4" ht="12.75" hidden="1" customHeight="1" x14ac:dyDescent="0.2">
      <c r="A33" s="369" t="s">
        <v>76</v>
      </c>
      <c r="B33" s="370"/>
      <c r="C33" s="370"/>
      <c r="D33" s="371"/>
    </row>
    <row r="34" spans="1:4" ht="12.75" hidden="1" customHeight="1" x14ac:dyDescent="0.2">
      <c r="A34" s="72" t="s">
        <v>72</v>
      </c>
      <c r="B34" s="73">
        <v>17</v>
      </c>
      <c r="C34" s="74" t="s">
        <v>25</v>
      </c>
      <c r="D34" s="75" t="s">
        <v>66</v>
      </c>
    </row>
    <row r="35" spans="1:4" ht="12.75" hidden="1" customHeight="1" x14ac:dyDescent="0.2">
      <c r="A35" s="72" t="s">
        <v>73</v>
      </c>
      <c r="B35" s="73">
        <v>10</v>
      </c>
      <c r="C35" s="74" t="s">
        <v>24</v>
      </c>
      <c r="D35" s="76" t="s">
        <v>41</v>
      </c>
    </row>
    <row r="36" spans="1:4" ht="12.75" hidden="1" customHeight="1" x14ac:dyDescent="0.2">
      <c r="A36" s="372" t="s">
        <v>77</v>
      </c>
      <c r="B36" s="373"/>
      <c r="C36" s="373"/>
      <c r="D36" s="374"/>
    </row>
    <row r="37" spans="1:4" ht="12.75" hidden="1" customHeight="1" x14ac:dyDescent="0.2">
      <c r="A37" s="72" t="s">
        <v>74</v>
      </c>
      <c r="B37" s="73">
        <v>6</v>
      </c>
      <c r="C37" s="74" t="s">
        <v>25</v>
      </c>
      <c r="D37" s="75" t="s">
        <v>29</v>
      </c>
    </row>
    <row r="38" spans="1:4" ht="12.75" hidden="1" customHeight="1" x14ac:dyDescent="0.2">
      <c r="A38" s="72" t="s">
        <v>75</v>
      </c>
      <c r="B38" s="73" t="e">
        <f>Average_Call_Duration_v801</f>
        <v>#NAME?</v>
      </c>
      <c r="C38" s="74" t="s">
        <v>24</v>
      </c>
      <c r="D38" s="75" t="s">
        <v>45</v>
      </c>
    </row>
    <row r="39" spans="1:4" ht="12.75" hidden="1" customHeight="1" x14ac:dyDescent="0.2">
      <c r="A39" s="24" t="s">
        <v>154</v>
      </c>
      <c r="B39" s="63">
        <v>0</v>
      </c>
      <c r="C39" s="25" t="s">
        <v>9</v>
      </c>
      <c r="D39" s="83"/>
    </row>
    <row r="40" spans="1:4" ht="12.75" customHeight="1" x14ac:dyDescent="0.2">
      <c r="A40" s="375" t="s">
        <v>21</v>
      </c>
      <c r="B40" s="376"/>
      <c r="C40" s="376"/>
      <c r="D40" s="377"/>
    </row>
    <row r="41" spans="1:4" ht="12.75" customHeight="1" x14ac:dyDescent="0.2">
      <c r="A41" s="22" t="s">
        <v>19</v>
      </c>
      <c r="B41" s="322">
        <f>'Bandwidth Calculator'!C41</f>
        <v>2</v>
      </c>
      <c r="C41" s="20" t="s">
        <v>12</v>
      </c>
      <c r="D41" s="15" t="s">
        <v>47</v>
      </c>
    </row>
    <row r="42" spans="1:4" ht="12.75" customHeight="1" x14ac:dyDescent="0.2">
      <c r="A42" s="22" t="s">
        <v>48</v>
      </c>
      <c r="B42" s="322">
        <f>'Bandwidth Calculator'!C42</f>
        <v>640</v>
      </c>
      <c r="C42" s="20" t="s">
        <v>13</v>
      </c>
      <c r="D42" s="15" t="s">
        <v>50</v>
      </c>
    </row>
    <row r="43" spans="1:4" ht="12.75" customHeight="1" x14ac:dyDescent="0.2">
      <c r="A43" s="22" t="s">
        <v>57</v>
      </c>
      <c r="B43" s="322">
        <f>'Bandwidth Calculator'!C43</f>
        <v>1500</v>
      </c>
      <c r="C43" s="20" t="s">
        <v>13</v>
      </c>
      <c r="D43" s="15" t="s">
        <v>52</v>
      </c>
    </row>
    <row r="44" spans="1:4" ht="12.75" customHeight="1" x14ac:dyDescent="0.2">
      <c r="A44" s="375" t="s">
        <v>22</v>
      </c>
      <c r="B44" s="376"/>
      <c r="C44" s="376"/>
      <c r="D44" s="377"/>
    </row>
    <row r="45" spans="1:4" ht="12.75" customHeight="1" thickBot="1" x14ac:dyDescent="0.25">
      <c r="A45" s="121" t="s">
        <v>143</v>
      </c>
      <c r="B45" s="329">
        <f>'Bandwidth Calculator'!C45</f>
        <v>2</v>
      </c>
      <c r="C45" s="20" t="s">
        <v>12</v>
      </c>
      <c r="D45" s="122" t="s">
        <v>142</v>
      </c>
    </row>
    <row r="46" spans="1:4" ht="12.75" customHeight="1" thickBot="1" x14ac:dyDescent="0.25">
      <c r="A46" s="23" t="s">
        <v>58</v>
      </c>
      <c r="B46" s="329">
        <f>'Bandwidth Calculator'!C46</f>
        <v>100</v>
      </c>
      <c r="C46" s="21" t="s">
        <v>13</v>
      </c>
      <c r="D46" s="11" t="s">
        <v>68</v>
      </c>
    </row>
    <row r="47" spans="1:4" ht="12.75" customHeight="1" x14ac:dyDescent="0.2">
      <c r="A47" s="292"/>
      <c r="B47" s="292"/>
      <c r="C47" s="293"/>
      <c r="D47" s="294"/>
    </row>
    <row r="48" spans="1:4" ht="26.25" customHeight="1" x14ac:dyDescent="0.25">
      <c r="A48" s="88" t="s">
        <v>138</v>
      </c>
      <c r="B48" s="89"/>
      <c r="C48" s="88"/>
      <c r="D48" s="90"/>
    </row>
    <row r="49" spans="1:8" ht="12.75" customHeight="1" x14ac:dyDescent="0.2">
      <c r="A49" s="96" t="s">
        <v>122</v>
      </c>
      <c r="B49" s="295">
        <f>((Number_of_Agents*'Finesse BW Data'!E5)/(Max_Login_Time_All_Agents*60))*kbps*'Finesse BW Data'!E39</f>
        <v>34043.221333333335</v>
      </c>
      <c r="C49" s="6" t="s">
        <v>8</v>
      </c>
      <c r="D49" s="68"/>
    </row>
    <row r="50" spans="1:8" ht="12.75" customHeight="1" x14ac:dyDescent="0.2">
      <c r="A50" s="96" t="s">
        <v>123</v>
      </c>
      <c r="B50" s="295">
        <f>((Number_of_Agents*'Finesse BW Data'!E6)/(Max_Login_Time_All_Agents*60))*kbps*'Finesse BW Data'!E39</f>
        <v>1710.5365333333332</v>
      </c>
      <c r="C50" s="6" t="s">
        <v>8</v>
      </c>
      <c r="D50" s="86"/>
      <c r="H50" s="97"/>
    </row>
    <row r="51" spans="1:8" ht="12.75" customHeight="1" x14ac:dyDescent="0.2">
      <c r="A51" s="96" t="s">
        <v>124</v>
      </c>
      <c r="B51" s="295">
        <f>((Number_of_Supervisors*'Finesse BW Data'!E7)/(Max_Login_Time_All_Agents*60))*kbps*'Finesse BW Data'!E39</f>
        <v>1369.1125760000002</v>
      </c>
      <c r="C51" s="6" t="s">
        <v>8</v>
      </c>
      <c r="D51" s="86"/>
      <c r="H51" s="97"/>
    </row>
    <row r="52" spans="1:8" ht="12.75" customHeight="1" x14ac:dyDescent="0.2">
      <c r="A52" s="96" t="s">
        <v>125</v>
      </c>
      <c r="B52" s="295">
        <f>((Number_of_Supervisors*'Finesse BW Data'!E8)/(Max_Login_Time_All_Agents*60))*kbps*'Finesse BW Data'!E39</f>
        <v>66.941333333333347</v>
      </c>
      <c r="C52" s="6" t="s">
        <v>8</v>
      </c>
      <c r="D52" s="86"/>
    </row>
    <row r="53" spans="1:8" ht="29.1" customHeight="1" thickBot="1" x14ac:dyDescent="0.25">
      <c r="A53" s="23" t="s">
        <v>513</v>
      </c>
      <c r="B53" s="232">
        <f>'Bandwidth Calculator'!C61</f>
        <v>1500</v>
      </c>
      <c r="C53" s="21" t="s">
        <v>518</v>
      </c>
      <c r="D53" s="11" t="s">
        <v>522</v>
      </c>
    </row>
    <row r="54" spans="1:8" ht="24.95" customHeight="1" thickBot="1" x14ac:dyDescent="0.25">
      <c r="A54" s="23" t="s">
        <v>514</v>
      </c>
      <c r="B54" s="232">
        <f>'Bandwidth Calculator'!C62</f>
        <v>20</v>
      </c>
      <c r="C54" s="21" t="s">
        <v>519</v>
      </c>
      <c r="D54" s="11" t="s">
        <v>523</v>
      </c>
    </row>
    <row r="55" spans="1:8" ht="30.95" customHeight="1" thickBot="1" x14ac:dyDescent="0.25">
      <c r="A55" s="23" t="s">
        <v>515</v>
      </c>
      <c r="B55" s="232">
        <f>'Bandwidth Calculator'!C63</f>
        <v>20</v>
      </c>
      <c r="C55" s="21" t="s">
        <v>519</v>
      </c>
      <c r="D55" s="11" t="s">
        <v>523</v>
      </c>
    </row>
    <row r="56" spans="1:8" ht="30" customHeight="1" thickBot="1" x14ac:dyDescent="0.25">
      <c r="A56" s="23" t="s">
        <v>516</v>
      </c>
      <c r="B56" s="232">
        <f>'Bandwidth Calculator'!C64</f>
        <v>50</v>
      </c>
      <c r="C56" s="21" t="s">
        <v>520</v>
      </c>
      <c r="D56" s="11" t="s">
        <v>524</v>
      </c>
    </row>
    <row r="57" spans="1:8" ht="36.950000000000003" customHeight="1" thickBot="1" x14ac:dyDescent="0.25">
      <c r="A57" s="23" t="s">
        <v>517</v>
      </c>
      <c r="B57" s="232">
        <f>'Bandwidth Calculator'!C65</f>
        <v>10</v>
      </c>
      <c r="C57" s="21" t="s">
        <v>521</v>
      </c>
      <c r="D57" s="11" t="s">
        <v>525</v>
      </c>
    </row>
    <row r="58" spans="1:8" s="18" customFormat="1" ht="15.95" customHeight="1" thickBot="1" x14ac:dyDescent="0.3">
      <c r="A58" s="48" t="s">
        <v>127</v>
      </c>
      <c r="B58" s="296">
        <f>( B49+B51 + (B9 * (   B53 * 900  +   (B54  + B55) * 250 + B56 * 150 + B57 * 1600 ) * 8 / (B12 * 60 * 1024)) )</f>
        <v>42618.063075999999</v>
      </c>
      <c r="C58" s="50" t="s">
        <v>8</v>
      </c>
      <c r="D58" s="51"/>
      <c r="F58"/>
    </row>
    <row r="59" spans="1:8" s="18" customFormat="1" ht="15.95" customHeight="1" thickBot="1" x14ac:dyDescent="0.3">
      <c r="A59" s="48" t="s">
        <v>126</v>
      </c>
      <c r="B59" s="296">
        <f>( B50+B52 + (B9 * (   B53 * 900  +   (B54  + B55) * 250 + B56 * 150 + B57 * 1600 ) * 8 / (B12 * 60 * 1024)) )</f>
        <v>8983.207033333334</v>
      </c>
      <c r="C59" s="50" t="s">
        <v>8</v>
      </c>
      <c r="D59" s="51"/>
      <c r="F59"/>
    </row>
    <row r="60" spans="1:8" s="18" customFormat="1" ht="15.95" customHeight="1" x14ac:dyDescent="0.2">
      <c r="A60" s="2"/>
      <c r="B60" s="2"/>
      <c r="C60" s="2"/>
      <c r="D60" s="2"/>
      <c r="F60"/>
    </row>
    <row r="61" spans="1:8" ht="26.25" customHeight="1" x14ac:dyDescent="0.25">
      <c r="A61" s="88" t="s">
        <v>185</v>
      </c>
      <c r="B61" s="89"/>
      <c r="C61" s="88"/>
      <c r="D61" s="90"/>
    </row>
    <row r="62" spans="1:8" ht="12.75" customHeight="1" x14ac:dyDescent="0.2">
      <c r="A62" s="96" t="s">
        <v>122</v>
      </c>
      <c r="B62" s="295">
        <f>(((B112*'Finesse BW Data'!E9)/(B110*60))+(B111*B112))*kbps*'Finesse BW Data'!E39</f>
        <v>3359.7200000000003</v>
      </c>
      <c r="C62" s="6" t="s">
        <v>8</v>
      </c>
      <c r="D62" s="148"/>
    </row>
    <row r="63" spans="1:8" ht="12.75" customHeight="1" thickBot="1" x14ac:dyDescent="0.25">
      <c r="A63" s="96" t="s">
        <v>123</v>
      </c>
      <c r="B63" s="295">
        <f>(((B112*'Finesse BW Data'!E10)/(B110*60))+(B111*B112))*kbps*'Finesse BW Data'!E39</f>
        <v>3397.7542857142857</v>
      </c>
      <c r="C63" s="6" t="s">
        <v>8</v>
      </c>
      <c r="D63" s="86"/>
      <c r="H63" s="97"/>
    </row>
    <row r="64" spans="1:8" s="18" customFormat="1" ht="15.95" customHeight="1" thickBot="1" x14ac:dyDescent="0.3">
      <c r="A64" s="48" t="s">
        <v>127</v>
      </c>
      <c r="B64" s="296">
        <f>B62</f>
        <v>3359.7200000000003</v>
      </c>
      <c r="C64" s="50" t="s">
        <v>8</v>
      </c>
      <c r="D64" s="51"/>
      <c r="F64"/>
    </row>
    <row r="65" spans="1:6" s="18" customFormat="1" ht="15.95" customHeight="1" thickBot="1" x14ac:dyDescent="0.3">
      <c r="A65" s="48" t="s">
        <v>126</v>
      </c>
      <c r="B65" s="296">
        <f>B63</f>
        <v>3397.7542857142857</v>
      </c>
      <c r="C65" s="50" t="s">
        <v>8</v>
      </c>
      <c r="D65" s="51"/>
      <c r="F65"/>
    </row>
    <row r="66" spans="1:6" s="18" customFormat="1" ht="15.95" customHeight="1" x14ac:dyDescent="0.25">
      <c r="A66" s="297"/>
      <c r="B66" s="298"/>
      <c r="C66" s="299"/>
      <c r="D66" s="300"/>
      <c r="F66"/>
    </row>
    <row r="67" spans="1:6" s="18" customFormat="1" ht="15.95" customHeight="1" x14ac:dyDescent="0.2">
      <c r="A67" s="2"/>
      <c r="B67" s="2"/>
      <c r="C67" s="2"/>
      <c r="D67" s="2"/>
      <c r="F67"/>
    </row>
    <row r="68" spans="1:6" ht="18.600000000000001" customHeight="1" thickBot="1" x14ac:dyDescent="0.25">
      <c r="A68" s="363" t="s">
        <v>191</v>
      </c>
      <c r="B68" s="364"/>
      <c r="C68" s="364"/>
      <c r="D68" s="365"/>
    </row>
    <row r="69" spans="1:6" ht="12.75" customHeight="1" thickBot="1" x14ac:dyDescent="0.25">
      <c r="A69" s="150" t="s">
        <v>528</v>
      </c>
      <c r="B69" s="286">
        <f>'Bandwidth Calculator'!C58</f>
        <v>100</v>
      </c>
      <c r="C69" s="21" t="s">
        <v>193</v>
      </c>
      <c r="D69" s="147"/>
    </row>
    <row r="70" spans="1:6" ht="12.75" customHeight="1" thickBot="1" x14ac:dyDescent="0.25">
      <c r="A70" s="150" t="s">
        <v>192</v>
      </c>
      <c r="B70" s="286">
        <f>'Bandwidth Calculator'!C59</f>
        <v>1024</v>
      </c>
      <c r="C70" s="21" t="s">
        <v>129</v>
      </c>
      <c r="D70" s="147"/>
    </row>
    <row r="71" spans="1:6" ht="12.75" customHeight="1" x14ac:dyDescent="0.2">
      <c r="A71" s="2"/>
      <c r="C71" s="4"/>
    </row>
    <row r="72" spans="1:6" ht="22.5" customHeight="1" thickBot="1" x14ac:dyDescent="0.3">
      <c r="A72" s="88" t="s">
        <v>184</v>
      </c>
      <c r="B72" s="89"/>
      <c r="C72" s="88"/>
      <c r="D72" s="90"/>
    </row>
    <row r="73" spans="1:6" s="18" customFormat="1" ht="15.95" customHeight="1" thickBot="1" x14ac:dyDescent="0.3">
      <c r="A73" s="357" t="s">
        <v>78</v>
      </c>
      <c r="B73" s="358"/>
      <c r="C73" s="358"/>
      <c r="D73" s="359"/>
    </row>
    <row r="74" spans="1:6" ht="12.75" customHeight="1" x14ac:dyDescent="0.2">
      <c r="A74" s="375" t="s">
        <v>110</v>
      </c>
      <c r="B74" s="376"/>
      <c r="C74" s="376"/>
      <c r="D74" s="377"/>
    </row>
    <row r="75" spans="1:6" ht="12.75" hidden="1" customHeight="1" x14ac:dyDescent="0.2">
      <c r="A75" s="42" t="s">
        <v>80</v>
      </c>
      <c r="B75" s="30" t="e">
        <f>((('Finesse BW Data'!E12+('Finesse BW Data'!E13*Average_number_of_Skill_Groups_per_Supervisor))*Number_of_Supervisors)/Skill_Group_Refresh_Rate)*kbps*Bandwidth_Confidence_Factor_v9</f>
        <v>#VALUE!</v>
      </c>
      <c r="C75" s="31" t="s">
        <v>8</v>
      </c>
      <c r="D75" s="32" t="e">
        <f>IF(B$97&gt;0,B75/B$97,0)</f>
        <v>#VALUE!</v>
      </c>
    </row>
    <row r="76" spans="1:6" ht="12.75" customHeight="1" x14ac:dyDescent="0.2">
      <c r="A76" s="43" t="s">
        <v>82</v>
      </c>
      <c r="B76" s="8">
        <f>(IF(Agent_Call_Wrap_Up_Time&gt;0,Avg_Agent_State_Changes_Per_Call_Wrap,Avg_Agent_State_Changes_Per_Call_NoWrap)*'Finesse BW Data'!E35*(Average_number_of_agents_per_Team/(Agent_Call_Wrap_Up_Time+Average_Call_Duration))*Number_of_Supervisors*kbps*Bandwidth_Confidence_Factor_v9)</f>
        <v>1499.4636800000001</v>
      </c>
      <c r="C76" s="6" t="s">
        <v>8</v>
      </c>
      <c r="D76" s="32">
        <f>IF(B$97&gt;0,B76/B$97,0)</f>
        <v>0.60925400800636842</v>
      </c>
    </row>
    <row r="77" spans="1:6" ht="12.75" customHeight="1" x14ac:dyDescent="0.2">
      <c r="A77" s="43" t="s">
        <v>139</v>
      </c>
      <c r="B77" s="8">
        <f>IF(Number_of_Supervisors&gt;0,((Calls_Per_Second * Percentage_of_BargedCalls) * 'Finesse BW Data'!E36) * kbps * Bandwidth_Confidence_Factor_v9,0)</f>
        <v>17.607338666666667</v>
      </c>
      <c r="C77" s="6" t="s">
        <v>8</v>
      </c>
      <c r="D77" s="32">
        <f>IF(B$97&gt;0,B77/B$97,0)</f>
        <v>7.1541190334081144E-3</v>
      </c>
    </row>
    <row r="78" spans="1:6" ht="12.75" customHeight="1" x14ac:dyDescent="0.2">
      <c r="A78" s="43" t="s">
        <v>140</v>
      </c>
      <c r="B78" s="8">
        <f>IF(Number_of_Supervisors&gt;0,((Calls_Per_Second * Percentage_of_InterceptedCalls) * 'Finesse BW Data'!E37) * kbps * Bandwidth_Confidence_Factor_v9,0)</f>
        <v>7.6677119999999999</v>
      </c>
      <c r="C78" s="6" t="s">
        <v>8</v>
      </c>
      <c r="D78" s="32">
        <f>IF(B$97&gt;0,B78/B$97,0)</f>
        <v>3.1155034500325658E-3</v>
      </c>
    </row>
    <row r="79" spans="1:6" ht="12.75" customHeight="1" x14ac:dyDescent="0.2">
      <c r="A79" s="43" t="s">
        <v>109</v>
      </c>
      <c r="B79" s="8">
        <f>IF(Number_of_Supervisors&gt;0,((Calls_Per_Second * Percentage_Calls_Silently_Monitored) * 'Finesse BW Data'!E34) * kbps * Bandwidth_Confidence_Factor_v9,0)</f>
        <v>8.3776853333333339</v>
      </c>
      <c r="C79" s="6" t="s">
        <v>8</v>
      </c>
      <c r="D79" s="32">
        <f>IF(B$97&gt;0,B79/B$97,0)</f>
        <v>3.4039759917022482E-3</v>
      </c>
    </row>
    <row r="80" spans="1:6" ht="12.75" customHeight="1" x14ac:dyDescent="0.2">
      <c r="A80" s="375" t="s">
        <v>111</v>
      </c>
      <c r="B80" s="376"/>
      <c r="C80" s="376"/>
      <c r="D80" s="377"/>
    </row>
    <row r="81" spans="1:4" ht="12.75" customHeight="1" x14ac:dyDescent="0.2">
      <c r="A81" s="44" t="s">
        <v>28</v>
      </c>
      <c r="B81" s="8">
        <f>(((Calls_Per_Second*Percentage_of_Incoming_Straight_Calls) * 'Finesse BW Data'!E15) + ((Calls_Per_Second*Percentage_of_Outgoing_Straight_Calls) * 'Finesse BW Data'!E16)) * kbps * Bandwidth_Confidence_Factor_v9</f>
        <v>443.02336000000008</v>
      </c>
      <c r="C81" s="6" t="s">
        <v>8</v>
      </c>
      <c r="D81" s="32">
        <f t="shared" ref="D81:D96" si="0">IF(B$97&gt;0,B81/B$97,0)</f>
        <v>0.18000686600188162</v>
      </c>
    </row>
    <row r="82" spans="1:4" ht="12.75" customHeight="1" x14ac:dyDescent="0.2">
      <c r="A82" s="131" t="s">
        <v>150</v>
      </c>
      <c r="B82" s="132">
        <f>((Calls_Per_Second*Percentage_of_SingleStep_Transfer_Calls)*'Finesse BW Data'!E19*kbps*Bandwidth_Confidence_Factor_v9)</f>
        <v>0</v>
      </c>
      <c r="C82" s="133" t="s">
        <v>8</v>
      </c>
      <c r="D82" s="134">
        <f t="shared" si="0"/>
        <v>0</v>
      </c>
    </row>
    <row r="83" spans="1:4" ht="12.75" customHeight="1" x14ac:dyDescent="0.2">
      <c r="A83" s="44" t="s">
        <v>26</v>
      </c>
      <c r="B83" s="8">
        <f>((Calls_Per_Second * Percentage_of_Consultative_Transfer_Calls) * 'Finesse BW Data'!E17) * kbps * Bandwidth_Confidence_Factor_v9</f>
        <v>41.462442666666668</v>
      </c>
      <c r="C83" s="6" t="s">
        <v>8</v>
      </c>
      <c r="D83" s="32">
        <f t="shared" si="0"/>
        <v>1.684679643350943E-2</v>
      </c>
    </row>
    <row r="84" spans="1:4" ht="12.75" customHeight="1" x14ac:dyDescent="0.2">
      <c r="A84" s="44" t="s">
        <v>27</v>
      </c>
      <c r="B84" s="8">
        <f>((Calls_Per_Second* Percentage_of_Consultative_Conference_Calls) * 'Finesse BW Data'!E18) * kbps * Bandwidth_Confidence_Factor_v9</f>
        <v>46.858239999999995</v>
      </c>
      <c r="C84" s="6" t="s">
        <v>8</v>
      </c>
      <c r="D84" s="32">
        <f t="shared" si="0"/>
        <v>1.9039187750199013E-2</v>
      </c>
    </row>
    <row r="85" spans="1:4" ht="12.75" customHeight="1" x14ac:dyDescent="0.2">
      <c r="A85" s="43" t="s">
        <v>89</v>
      </c>
      <c r="B85" s="8">
        <f>IF(Agent_Call_Wrap_Up_Time&gt;0,Calls_Per_Second*'Finesse BW Data'!E20 * kbps * Bandwidth_Confidence_Factor_v9,0)</f>
        <v>241.39093333333332</v>
      </c>
      <c r="C85" s="84" t="s">
        <v>8</v>
      </c>
      <c r="D85" s="32">
        <f t="shared" si="0"/>
        <v>9.8080664167691886E-2</v>
      </c>
    </row>
    <row r="86" spans="1:4" ht="12.75" customHeight="1" x14ac:dyDescent="0.2">
      <c r="A86" s="43" t="s">
        <v>105</v>
      </c>
      <c r="B86" s="8">
        <f>IF(Number_of_Configured_ECC_variables&gt;0,(Sum_of_all_ECC_Variable_Values+Sum_of_all_ECC_Variable_Names+(Number_of_Configured_ECC_variables*'Finesse BW Data'!E29))*Avg_Number_Dialog_Events_Per_IncomingCall*Percentage_of_Incoming_Straight_Calls*Calls_Per_Second*kbps*Bandwidth_Confidence_Factor_v9,0)</f>
        <v>96.670080000000013</v>
      </c>
      <c r="C86" s="6" t="s">
        <v>8</v>
      </c>
      <c r="D86" s="32">
        <f t="shared" si="0"/>
        <v>3.9278466347578547E-2</v>
      </c>
    </row>
    <row r="87" spans="1:4" ht="12.75" customHeight="1" x14ac:dyDescent="0.2">
      <c r="A87" s="43" t="s">
        <v>112</v>
      </c>
      <c r="B87" s="8">
        <f>IF(Number_of_Configured_ECC_variables&gt;0,(Sum_of_all_ECC_Variable_Values+Sum_of_all_ECC_Variable_Names+(Number_of_Configured_ECC_variables*'Finesse BW Data'!E29))*Avg_Number_Dialog_Events_Per_OutCall*Percentage_of_Outgoing_Straight_Calls*Calls_Per_Second*kbps*Bandwidth_Confidence_Factor_v9,0)</f>
        <v>17.185791999999999</v>
      </c>
      <c r="C87" s="6" t="s">
        <v>8</v>
      </c>
      <c r="D87" s="32">
        <f t="shared" si="0"/>
        <v>6.9828384617917402E-3</v>
      </c>
    </row>
    <row r="88" spans="1:4" ht="12.75" customHeight="1" x14ac:dyDescent="0.2">
      <c r="A88" s="43" t="s">
        <v>106</v>
      </c>
      <c r="B88" s="8">
        <f>IF(Number_of_Configured_ECC_variables&gt;0,(Sum_of_all_ECC_Variable_Values+Sum_of_all_ECC_Variable_Names+(Number_of_Configured_ECC_variables*'Finesse BW Data'!E29))*Avg_Number_Dialog_Events_Per_ConfCall*Percentage_of_Consultative_Conference_Calls*Calls_Per_Second*kbps*Bandwidth_Confidence_Factor_v9,0)</f>
        <v>10.74112</v>
      </c>
      <c r="C88" s="6" t="s">
        <v>8</v>
      </c>
      <c r="D88" s="32">
        <f t="shared" si="0"/>
        <v>4.3642740386198378E-3</v>
      </c>
    </row>
    <row r="89" spans="1:4" ht="12.75" customHeight="1" x14ac:dyDescent="0.2">
      <c r="A89" s="43" t="s">
        <v>107</v>
      </c>
      <c r="B89" s="8">
        <f>IF(Number_of_Configured_ECC_variables&gt;0,(Sum_of_all_ECC_Variable_Values+Sum_of_all_ECC_Variable_Names+(Number_of_Configured_ECC_variables*'Finesse BW Data'!E29))*Avg_Number_Dialog_Events_Per_XferCall*Percentage_of_Consultative_Transfer_Calls*Calls_Per_Second*kbps*Bandwidth_Confidence_Factor_v9,0)</f>
        <v>8.5928959999999996</v>
      </c>
      <c r="C89" s="6" t="s">
        <v>8</v>
      </c>
      <c r="D89" s="32">
        <f t="shared" si="0"/>
        <v>3.4914192308958701E-3</v>
      </c>
    </row>
    <row r="90" spans="1:4" ht="12" customHeight="1" x14ac:dyDescent="0.2">
      <c r="A90" s="43" t="s">
        <v>101</v>
      </c>
      <c r="B90" s="8">
        <f>(Sum_of_all_Call_Variable_Values+(Number_of_Configured_Call_variables*'Finesse BW Data'!E32))*Avg_Number_Dialog_Events_Per_IncomingCall*Percentage_of_Incoming_Straight_Calls*Calls_Per_Second*kbps*Bandwidth_Confidence_Factor_v9</f>
        <v>16.024320000000003</v>
      </c>
      <c r="C90" s="6" t="s">
        <v>8</v>
      </c>
      <c r="D90" s="32">
        <f t="shared" si="0"/>
        <v>6.5109154131539962E-3</v>
      </c>
    </row>
    <row r="91" spans="1:4" ht="12.75" customHeight="1" x14ac:dyDescent="0.2">
      <c r="A91" s="43" t="s">
        <v>102</v>
      </c>
      <c r="B91" s="8">
        <f>(Sum_of_all_Call_Variable_Values+(Number_of_Configured_Call_variables*'Finesse BW Data'!E32))*Avg_Number_Dialog_Events_Per_OutCall*Percentage_of_Outgoing_Straight_Calls*Calls_Per_Second*kbps*Bandwidth_Confidence_Factor_v9</f>
        <v>2.8487679999999993</v>
      </c>
      <c r="C91" s="6" t="s">
        <v>8</v>
      </c>
      <c r="D91" s="32">
        <f t="shared" si="0"/>
        <v>1.1574960734495989E-3</v>
      </c>
    </row>
    <row r="92" spans="1:4" ht="12.75" customHeight="1" x14ac:dyDescent="0.2">
      <c r="A92" s="43" t="s">
        <v>103</v>
      </c>
      <c r="B92" s="8">
        <f>(Sum_of_all_Call_Variable_Values_v901+(Number_of_Configured_Call_variables*'Finesse BW Data'!E32))*Avg_Number_Dialog_Events_Per_ConfCall*Percentage_of_Consultative_Conference_Calls*Calls_Per_Second*kbps*Bandwidth_Confidence_Factor_v9</f>
        <v>1.7804800000000001</v>
      </c>
      <c r="C92" s="6" t="s">
        <v>8</v>
      </c>
      <c r="D92" s="32">
        <f t="shared" si="0"/>
        <v>7.2343504590599952E-4</v>
      </c>
    </row>
    <row r="93" spans="1:4" ht="12.75" customHeight="1" x14ac:dyDescent="0.2">
      <c r="A93" s="43" t="s">
        <v>104</v>
      </c>
      <c r="B93" s="8">
        <f>(Sum_of_all_Call_Variable_Values+(Number_of_Configured_Call_variables*'Finesse BW Data'!E32))*Avg_Number_Dialog_Events_Per_XferCall*Percentage_of_Consultative_Transfer_Calls*Calls_Per_Second*kbps*Bandwidth_Confidence_Factor_v9</f>
        <v>1.4243839999999997</v>
      </c>
      <c r="C93" s="6" t="s">
        <v>8</v>
      </c>
      <c r="D93" s="32">
        <f t="shared" si="0"/>
        <v>5.7874803672479944E-4</v>
      </c>
    </row>
    <row r="94" spans="1:4" ht="12.75" customHeight="1" thickBot="1" x14ac:dyDescent="0.25">
      <c r="A94" s="158" t="s">
        <v>194</v>
      </c>
      <c r="B94" s="43">
        <f>(((B69/(60*60))*B70)/1024)</f>
        <v>2.7777777777777776E-2</v>
      </c>
      <c r="C94" s="159"/>
      <c r="D94" s="160"/>
    </row>
    <row r="95" spans="1:4" ht="12.75" customHeight="1" thickBot="1" x14ac:dyDescent="0.25">
      <c r="A95" s="41" t="s">
        <v>61</v>
      </c>
      <c r="B95" s="39">
        <f>SUM(B81:B94)</f>
        <v>928.03059377777788</v>
      </c>
      <c r="C95" s="40" t="s">
        <v>8</v>
      </c>
      <c r="D95" s="33">
        <f t="shared" si="0"/>
        <v>0.37707239351848865</v>
      </c>
    </row>
    <row r="96" spans="1:4" ht="12.75" customHeight="1" thickBot="1" x14ac:dyDescent="0.25">
      <c r="A96" s="41" t="s">
        <v>62</v>
      </c>
      <c r="B96" s="39">
        <f>SUM(B76:B79)</f>
        <v>1533.1164160000001</v>
      </c>
      <c r="C96" s="40" t="s">
        <v>8</v>
      </c>
      <c r="D96" s="33">
        <f t="shared" si="0"/>
        <v>0.62292760648151135</v>
      </c>
    </row>
    <row r="97" spans="1:6" s="18" customFormat="1" ht="15.95" customHeight="1" thickBot="1" x14ac:dyDescent="0.3">
      <c r="A97" s="48" t="s">
        <v>63</v>
      </c>
      <c r="B97" s="49">
        <f>SUM(B95:B96)</f>
        <v>2461.1470097777778</v>
      </c>
      <c r="C97" s="50" t="s">
        <v>8</v>
      </c>
      <c r="D97" s="51">
        <f>SUM(D76:D93)</f>
        <v>0.99998871348291363</v>
      </c>
      <c r="F97"/>
    </row>
    <row r="98" spans="1:6" ht="12.75" customHeight="1" thickBot="1" x14ac:dyDescent="0.25">
      <c r="A98" s="41" t="s">
        <v>90</v>
      </c>
      <c r="B98" s="39">
        <f>IF(Number_of_Agents&gt;0,B95/Number_of_Agents,0)</f>
        <v>4.6401529688888896</v>
      </c>
      <c r="C98" s="40" t="s">
        <v>8</v>
      </c>
      <c r="D98" s="33"/>
    </row>
    <row r="99" spans="1:6" ht="12.75" customHeight="1" thickBot="1" x14ac:dyDescent="0.25">
      <c r="A99" s="41" t="s">
        <v>91</v>
      </c>
      <c r="B99" s="39">
        <f>IF(Number_of_Supervisors&gt;0,B96/Number_of_Supervisors,0)</f>
        <v>191.63955200000001</v>
      </c>
      <c r="C99" s="40" t="s">
        <v>8</v>
      </c>
      <c r="D99" s="33"/>
    </row>
    <row r="100" spans="1:6" ht="12.75" customHeight="1" x14ac:dyDescent="0.2">
      <c r="B100"/>
      <c r="D100"/>
    </row>
    <row r="101" spans="1:6" ht="12.75" customHeight="1" x14ac:dyDescent="0.2">
      <c r="B101"/>
      <c r="D101"/>
    </row>
    <row r="102" spans="1:6" ht="15.95" customHeight="1" thickBot="1" x14ac:dyDescent="0.25">
      <c r="A102" s="363" t="s">
        <v>165</v>
      </c>
      <c r="B102" s="364"/>
      <c r="C102" s="364"/>
      <c r="D102" s="365"/>
    </row>
    <row r="103" spans="1:6" ht="12.75" hidden="1" customHeight="1" thickBot="1" x14ac:dyDescent="0.25">
      <c r="A103" s="152" t="s">
        <v>166</v>
      </c>
      <c r="B103" s="149">
        <v>1</v>
      </c>
      <c r="C103" s="21"/>
      <c r="D103" s="147" t="s">
        <v>529</v>
      </c>
    </row>
    <row r="104" spans="1:6" ht="12.75" customHeight="1" thickBot="1" x14ac:dyDescent="0.25">
      <c r="A104" s="150" t="s">
        <v>179</v>
      </c>
      <c r="B104" s="286">
        <f>'Bandwidth Calculator'!C48</f>
        <v>5</v>
      </c>
      <c r="C104" s="21" t="s">
        <v>177</v>
      </c>
      <c r="D104" s="147"/>
    </row>
    <row r="105" spans="1:6" ht="12.75" customHeight="1" thickBot="1" x14ac:dyDescent="0.25">
      <c r="A105" s="150" t="s">
        <v>530</v>
      </c>
      <c r="B105" s="286">
        <f>'Bandwidth Calculator'!C49</f>
        <v>3</v>
      </c>
      <c r="C105" s="21" t="s">
        <v>178</v>
      </c>
      <c r="D105" s="147"/>
    </row>
    <row r="106" spans="1:6" ht="12.75" customHeight="1" thickBot="1" x14ac:dyDescent="0.25">
      <c r="A106" s="150" t="s">
        <v>175</v>
      </c>
      <c r="B106" s="286">
        <f>'Bandwidth Calculator'!C50</f>
        <v>100</v>
      </c>
      <c r="C106" s="21"/>
      <c r="D106" s="147"/>
    </row>
    <row r="107" spans="1:6" ht="12.75" customHeight="1" thickBot="1" x14ac:dyDescent="0.25">
      <c r="A107" s="150" t="s">
        <v>190</v>
      </c>
      <c r="B107" s="286">
        <f>'Bandwidth Calculator'!C51</f>
        <v>50</v>
      </c>
      <c r="C107" s="21"/>
      <c r="D107" s="147"/>
    </row>
    <row r="108" spans="1:6" ht="12.75" customHeight="1" thickBot="1" x14ac:dyDescent="0.25">
      <c r="A108" s="150" t="s">
        <v>181</v>
      </c>
      <c r="B108" s="286">
        <f>'Bandwidth Calculator'!C52</f>
        <v>0</v>
      </c>
      <c r="C108" s="151" t="s">
        <v>180</v>
      </c>
      <c r="D108" s="154"/>
    </row>
    <row r="109" spans="1:6" ht="14.45" customHeight="1" thickBot="1" x14ac:dyDescent="0.25">
      <c r="A109" s="150" t="s">
        <v>189</v>
      </c>
      <c r="B109" s="286">
        <f>'Bandwidth Calculator'!C53</f>
        <v>2</v>
      </c>
      <c r="C109" s="95"/>
      <c r="D109" s="114"/>
    </row>
    <row r="110" spans="1:6" ht="39" customHeight="1" thickBot="1" x14ac:dyDescent="0.25">
      <c r="A110" s="150" t="s">
        <v>176</v>
      </c>
      <c r="B110" s="286">
        <f>'Bandwidth Calculator'!C54</f>
        <v>1</v>
      </c>
      <c r="C110" s="153" t="s">
        <v>120</v>
      </c>
      <c r="D110" s="114" t="s">
        <v>163</v>
      </c>
    </row>
    <row r="111" spans="1:6" ht="17.45" customHeight="1" thickBot="1" x14ac:dyDescent="0.25">
      <c r="A111" s="150" t="s">
        <v>187</v>
      </c>
      <c r="B111" s="286">
        <f>'Bandwidth Calculator'!C55</f>
        <v>1983</v>
      </c>
      <c r="C111" s="153" t="s">
        <v>129</v>
      </c>
      <c r="D111" s="156"/>
    </row>
    <row r="112" spans="1:6" ht="12.75" customHeight="1" thickBot="1" x14ac:dyDescent="0.25">
      <c r="A112" s="150" t="s">
        <v>164</v>
      </c>
      <c r="B112" s="286">
        <f>'Bandwidth Calculator'!C56</f>
        <v>150</v>
      </c>
      <c r="C112" s="21"/>
      <c r="D112" s="155"/>
    </row>
    <row r="113" spans="1:4" ht="12.75" customHeight="1" x14ac:dyDescent="0.2"/>
    <row r="114" spans="1:4" ht="31.5" customHeight="1" x14ac:dyDescent="0.25">
      <c r="A114" s="88" t="s">
        <v>186</v>
      </c>
      <c r="B114" s="88"/>
      <c r="C114" s="88"/>
      <c r="D114" s="88"/>
    </row>
    <row r="115" spans="1:4" ht="12.75" customHeight="1" x14ac:dyDescent="0.2">
      <c r="A115" s="375" t="s">
        <v>78</v>
      </c>
      <c r="B115" s="376"/>
      <c r="C115" s="376"/>
      <c r="D115" s="377"/>
    </row>
    <row r="116" spans="1:4" x14ac:dyDescent="0.2">
      <c r="A116" s="43" t="s">
        <v>183</v>
      </c>
      <c r="B116" s="43">
        <f>((((B104/60*60)* B112* 'Finesse BW Data'!E22) + (((B105/60)*B106)*B112* 'Finesse BW Data'!E23) + ((B107*(B109/(60*60))) *B112* 'Finesse BW Data'!E24)+ ((B108/60*60) *B112* (('Finesse BW Data'!E24))))/1024) * 'Finesse BW Data'!E39+B118</f>
        <v>8456.8032430013027</v>
      </c>
      <c r="C116" s="43"/>
      <c r="D116" s="287"/>
    </row>
    <row r="117" spans="1:4" ht="12.6" customHeight="1" thickBot="1" x14ac:dyDescent="0.25">
      <c r="A117" s="43" t="s">
        <v>162</v>
      </c>
      <c r="B117" s="43">
        <f>(B116*(0.02)+B116)</f>
        <v>8625.9393078613284</v>
      </c>
      <c r="C117" s="43"/>
      <c r="D117" s="43">
        <v>1</v>
      </c>
    </row>
    <row r="118" spans="1:4" ht="12.75" customHeight="1" thickBot="1" x14ac:dyDescent="0.25">
      <c r="A118" s="41" t="s">
        <v>188</v>
      </c>
      <c r="B118" s="41">
        <f>(1280/(1024*30))</f>
        <v>4.1666666666666664E-2</v>
      </c>
      <c r="C118" s="40"/>
      <c r="D118" s="40"/>
    </row>
    <row r="119" spans="1:4" ht="17.45" customHeight="1" thickBot="1" x14ac:dyDescent="0.3">
      <c r="A119" s="48" t="s">
        <v>63</v>
      </c>
      <c r="B119" s="49">
        <f>B117</f>
        <v>8625.9393078613284</v>
      </c>
      <c r="C119" s="50" t="s">
        <v>8</v>
      </c>
      <c r="D119" s="51">
        <f>SUM(D117+0)</f>
        <v>1</v>
      </c>
    </row>
    <row r="120" spans="1:4" ht="12.75" customHeight="1" thickBot="1" x14ac:dyDescent="0.25">
      <c r="A120" s="41" t="s">
        <v>90</v>
      </c>
      <c r="B120" s="39">
        <f>IF(B112&gt;0,B119/B112,0)</f>
        <v>57.506262052408857</v>
      </c>
      <c r="C120" s="40" t="s">
        <v>8</v>
      </c>
      <c r="D120" s="33"/>
    </row>
    <row r="121" spans="1:4" ht="12.75" customHeight="1" x14ac:dyDescent="0.2">
      <c r="B121"/>
      <c r="D121"/>
    </row>
    <row r="122" spans="1:4" ht="12.6" customHeight="1" x14ac:dyDescent="0.2">
      <c r="B122"/>
      <c r="D122"/>
    </row>
    <row r="123" spans="1:4" ht="82.5" customHeight="1" x14ac:dyDescent="0.2">
      <c r="A123" s="378" t="s">
        <v>131</v>
      </c>
      <c r="B123" s="378"/>
      <c r="C123" s="378"/>
      <c r="D123" s="378"/>
    </row>
    <row r="124" spans="1:4" ht="12.75" customHeight="1" x14ac:dyDescent="0.2">
      <c r="A124" s="378"/>
      <c r="B124" s="378"/>
      <c r="C124" s="378"/>
      <c r="D124" s="378"/>
    </row>
  </sheetData>
  <sheetProtection algorithmName="SHA-512" hashValue="5F+V6e8SUC+2WmqVLX4mRS8Ct1x3DBp61zV0fEgUSLamwfbqsII9LN9lHAPgqAY0gf5+LY7Ne8B9oxtn+DXLFQ==" saltValue="kHIejFKhwDcDQkI5UhKzwg==" spinCount="100000" sheet="1" formatCells="0" formatColumns="0" formatRows="0" insertColumns="0" insertRows="0" insertHyperlinks="0" deleteColumns="0" deleteRows="0" sort="0" autoFilter="0" pivotTables="0"/>
  <mergeCells count="20">
    <mergeCell ref="A124:B124"/>
    <mergeCell ref="C124:D124"/>
    <mergeCell ref="A74:D74"/>
    <mergeCell ref="A80:D80"/>
    <mergeCell ref="A102:D102"/>
    <mergeCell ref="A115:D115"/>
    <mergeCell ref="A123:B123"/>
    <mergeCell ref="C123:D123"/>
    <mergeCell ref="A73:D73"/>
    <mergeCell ref="A8:D8"/>
    <mergeCell ref="A13:D13"/>
    <mergeCell ref="A18:D18"/>
    <mergeCell ref="D19:D20"/>
    <mergeCell ref="D21:D22"/>
    <mergeCell ref="A29:D29"/>
    <mergeCell ref="A33:D33"/>
    <mergeCell ref="A36:D36"/>
    <mergeCell ref="A40:D40"/>
    <mergeCell ref="A44:D44"/>
    <mergeCell ref="A68:D68"/>
  </mergeCells>
  <conditionalFormatting sqref="B25">
    <cfRule type="cellIs" dxfId="1" priority="3" stopIfTrue="1" operator="equal">
      <formula>1</formula>
    </cfRule>
    <cfRule type="cellIs" dxfId="0" priority="4" stopIfTrue="1" operator="notEqual">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1963-06EE-4A7F-A996-A8AD68D70B85}">
  <dimension ref="A1:L59"/>
  <sheetViews>
    <sheetView topLeftCell="A25" zoomScale="130" zoomScaleNormal="130" zoomScalePageLayoutView="140" workbookViewId="0">
      <selection activeCell="B41" sqref="B41"/>
    </sheetView>
  </sheetViews>
  <sheetFormatPr defaultColWidth="8.85546875" defaultRowHeight="12.75" x14ac:dyDescent="0.2"/>
  <cols>
    <col min="1" max="1" width="58.140625" customWidth="1"/>
    <col min="2" max="4" width="18.7109375" hidden="1" customWidth="1"/>
    <col min="5" max="7" width="18.7109375" customWidth="1"/>
    <col min="8" max="8" width="10.85546875" customWidth="1"/>
    <col min="9" max="12" width="0" hidden="1" customWidth="1"/>
  </cols>
  <sheetData>
    <row r="1" spans="1:8" ht="13.5" thickBot="1" x14ac:dyDescent="0.25">
      <c r="A1" s="1"/>
    </row>
    <row r="2" spans="1:8" x14ac:dyDescent="0.2">
      <c r="A2" s="383" t="s">
        <v>86</v>
      </c>
      <c r="B2" s="98"/>
      <c r="C2" s="98"/>
      <c r="D2" s="98"/>
      <c r="E2" s="98"/>
      <c r="F2" s="98"/>
      <c r="G2" s="98"/>
      <c r="H2" s="99"/>
    </row>
    <row r="3" spans="1:8" ht="38.25" x14ac:dyDescent="0.2">
      <c r="A3" s="384"/>
      <c r="B3" s="65" t="s">
        <v>132</v>
      </c>
      <c r="C3" s="65" t="s">
        <v>133</v>
      </c>
      <c r="D3" s="65" t="s">
        <v>134</v>
      </c>
      <c r="E3" s="65" t="s">
        <v>534</v>
      </c>
      <c r="F3" s="65" t="s">
        <v>533</v>
      </c>
      <c r="G3" s="65" t="s">
        <v>532</v>
      </c>
      <c r="H3" s="100" t="s">
        <v>11</v>
      </c>
    </row>
    <row r="4" spans="1:8" x14ac:dyDescent="0.2">
      <c r="A4" s="320" t="s">
        <v>115</v>
      </c>
      <c r="B4" s="319"/>
      <c r="C4" s="318"/>
      <c r="D4" s="318"/>
      <c r="E4" s="318"/>
      <c r="F4" s="318"/>
      <c r="G4" s="318"/>
      <c r="H4" s="101"/>
    </row>
    <row r="5" spans="1:8" x14ac:dyDescent="0.2">
      <c r="A5" s="102" t="s">
        <v>116</v>
      </c>
      <c r="B5" s="64">
        <f>2.8 *1024 * 1024</f>
        <v>2936012.7999999998</v>
      </c>
      <c r="C5" s="128"/>
      <c r="D5" s="120">
        <f>1680+1380</f>
        <v>3060</v>
      </c>
      <c r="E5" s="316">
        <v>4910080</v>
      </c>
      <c r="F5" s="316">
        <v>4980736</v>
      </c>
      <c r="G5" s="316">
        <v>356352</v>
      </c>
      <c r="H5" s="103" t="s">
        <v>129</v>
      </c>
    </row>
    <row r="6" spans="1:8" x14ac:dyDescent="0.2">
      <c r="A6" s="104" t="s">
        <v>117</v>
      </c>
      <c r="B6" s="64">
        <f>0.8 *1024 * 1024</f>
        <v>838860.80000000005</v>
      </c>
      <c r="C6" s="128"/>
      <c r="D6" s="120" t="s">
        <v>141</v>
      </c>
      <c r="E6" s="316">
        <v>246712</v>
      </c>
      <c r="F6" s="316">
        <v>316416</v>
      </c>
      <c r="G6" s="316">
        <v>353280</v>
      </c>
      <c r="H6" s="103" t="s">
        <v>129</v>
      </c>
    </row>
    <row r="7" spans="1:8" x14ac:dyDescent="0.2">
      <c r="A7" s="102" t="s">
        <v>118</v>
      </c>
      <c r="B7" s="64">
        <f>5.2 *1024 * 1024</f>
        <v>5452595.2000000002</v>
      </c>
      <c r="C7" s="128"/>
      <c r="D7" s="115">
        <f>1338+802</f>
        <v>2140</v>
      </c>
      <c r="E7" s="314">
        <v>4936704</v>
      </c>
      <c r="F7" s="314">
        <v>5014528</v>
      </c>
      <c r="G7" s="314">
        <v>345088</v>
      </c>
      <c r="H7" s="103" t="s">
        <v>129</v>
      </c>
    </row>
    <row r="8" spans="1:8" x14ac:dyDescent="0.2">
      <c r="A8" s="104" t="s">
        <v>119</v>
      </c>
      <c r="B8" s="64">
        <f>2.8 *1024 * 1024</f>
        <v>2936012.7999999998</v>
      </c>
      <c r="C8" s="128"/>
      <c r="D8" s="120" t="s">
        <v>141</v>
      </c>
      <c r="E8" s="316">
        <v>241375</v>
      </c>
      <c r="F8" s="317">
        <v>324608</v>
      </c>
      <c r="G8" s="316">
        <v>395264</v>
      </c>
      <c r="H8" s="103" t="s">
        <v>129</v>
      </c>
    </row>
    <row r="9" spans="1:8" x14ac:dyDescent="0.2">
      <c r="A9" s="102" t="s">
        <v>159</v>
      </c>
      <c r="B9" s="64"/>
      <c r="C9" s="128"/>
      <c r="D9" s="115"/>
      <c r="E9" s="314">
        <f>((40*1024)/4)</f>
        <v>10240</v>
      </c>
      <c r="F9" s="314" t="s">
        <v>158</v>
      </c>
      <c r="G9" s="314" t="s">
        <v>158</v>
      </c>
      <c r="H9" s="103" t="s">
        <v>129</v>
      </c>
    </row>
    <row r="10" spans="1:8" x14ac:dyDescent="0.2">
      <c r="A10" s="102" t="s">
        <v>160</v>
      </c>
      <c r="B10" s="102"/>
      <c r="C10" s="102"/>
      <c r="D10" s="102"/>
      <c r="E10" s="314">
        <f>((40*1024)/3.5)</f>
        <v>11702.857142857143</v>
      </c>
      <c r="F10" s="314" t="s">
        <v>158</v>
      </c>
      <c r="G10" s="314" t="s">
        <v>158</v>
      </c>
      <c r="H10" s="103" t="s">
        <v>129</v>
      </c>
    </row>
    <row r="11" spans="1:8" x14ac:dyDescent="0.2">
      <c r="A11" s="385" t="s">
        <v>85</v>
      </c>
      <c r="B11" s="386"/>
      <c r="C11" s="312"/>
      <c r="D11" s="311"/>
      <c r="E11" s="311"/>
      <c r="F11" s="311"/>
      <c r="G11" s="311"/>
      <c r="H11" s="101"/>
    </row>
    <row r="12" spans="1:8" x14ac:dyDescent="0.2">
      <c r="A12" s="105" t="s">
        <v>130</v>
      </c>
      <c r="B12" s="64">
        <v>1275</v>
      </c>
      <c r="C12" s="128"/>
      <c r="D12" s="120" t="s">
        <v>141</v>
      </c>
      <c r="E12" s="308" t="s">
        <v>531</v>
      </c>
      <c r="F12" s="308" t="s">
        <v>156</v>
      </c>
      <c r="G12" s="314" t="s">
        <v>158</v>
      </c>
      <c r="H12" s="103" t="s">
        <v>129</v>
      </c>
    </row>
    <row r="13" spans="1:8" x14ac:dyDescent="0.2">
      <c r="A13" s="104" t="s">
        <v>87</v>
      </c>
      <c r="B13" s="5">
        <v>790</v>
      </c>
      <c r="C13" s="128"/>
      <c r="D13" s="115">
        <v>737</v>
      </c>
      <c r="E13" s="314" t="s">
        <v>156</v>
      </c>
      <c r="F13" s="308" t="s">
        <v>156</v>
      </c>
      <c r="G13" s="314" t="s">
        <v>158</v>
      </c>
      <c r="H13" s="103" t="s">
        <v>129</v>
      </c>
    </row>
    <row r="14" spans="1:8" x14ac:dyDescent="0.2">
      <c r="A14" s="379" t="s">
        <v>14</v>
      </c>
      <c r="B14" s="380"/>
      <c r="C14" s="129"/>
      <c r="D14" s="116"/>
      <c r="E14" s="116"/>
      <c r="F14" s="116"/>
      <c r="G14" s="116"/>
      <c r="H14" s="101"/>
    </row>
    <row r="15" spans="1:8" x14ac:dyDescent="0.2">
      <c r="A15" s="106" t="s">
        <v>15</v>
      </c>
      <c r="B15" s="5">
        <v>25020</v>
      </c>
      <c r="C15" s="128"/>
      <c r="D15" s="115">
        <v>3259</v>
      </c>
      <c r="E15" s="314">
        <f>33792</f>
        <v>33792</v>
      </c>
      <c r="F15" s="314">
        <v>81920</v>
      </c>
      <c r="G15" s="314">
        <f>121856</f>
        <v>121856</v>
      </c>
      <c r="H15" s="103" t="s">
        <v>129</v>
      </c>
    </row>
    <row r="16" spans="1:8" x14ac:dyDescent="0.2">
      <c r="A16" s="106" t="s">
        <v>16</v>
      </c>
      <c r="B16" s="5">
        <v>38785</v>
      </c>
      <c r="C16" s="128"/>
      <c r="D16" s="115">
        <v>3387</v>
      </c>
      <c r="E16" s="314">
        <f>25600</f>
        <v>25600</v>
      </c>
      <c r="F16" s="314">
        <v>24576</v>
      </c>
      <c r="G16" s="314">
        <v>679936</v>
      </c>
      <c r="H16" s="103" t="s">
        <v>129</v>
      </c>
    </row>
    <row r="17" spans="1:12" x14ac:dyDescent="0.2">
      <c r="A17" s="106" t="s">
        <v>17</v>
      </c>
      <c r="B17" s="5">
        <v>64177</v>
      </c>
      <c r="C17" s="128"/>
      <c r="D17" s="115">
        <v>5606</v>
      </c>
      <c r="E17" s="314">
        <f>149504</f>
        <v>149504</v>
      </c>
      <c r="F17" s="314">
        <v>299008</v>
      </c>
      <c r="G17" s="314">
        <v>442368</v>
      </c>
      <c r="H17" s="103" t="s">
        <v>129</v>
      </c>
    </row>
    <row r="18" spans="1:12" x14ac:dyDescent="0.2">
      <c r="A18" s="106" t="s">
        <v>18</v>
      </c>
      <c r="B18" s="5">
        <v>79757</v>
      </c>
      <c r="C18" s="128"/>
      <c r="D18" s="115">
        <v>6236</v>
      </c>
      <c r="E18" s="314">
        <f>168960</f>
        <v>168960</v>
      </c>
      <c r="F18" s="314">
        <v>191488</v>
      </c>
      <c r="G18" s="314">
        <f>481280</f>
        <v>481280</v>
      </c>
      <c r="H18" s="103" t="s">
        <v>129</v>
      </c>
    </row>
    <row r="19" spans="1:12" x14ac:dyDescent="0.2">
      <c r="A19" s="106" t="s">
        <v>135</v>
      </c>
      <c r="B19" s="5"/>
      <c r="C19" s="128"/>
      <c r="D19" s="115">
        <v>6601</v>
      </c>
      <c r="E19" s="314">
        <v>109568</v>
      </c>
      <c r="F19" s="314">
        <v>110592</v>
      </c>
      <c r="G19" s="314">
        <v>369664</v>
      </c>
      <c r="H19" s="103" t="s">
        <v>129</v>
      </c>
    </row>
    <row r="20" spans="1:12" x14ac:dyDescent="0.2">
      <c r="A20" s="104" t="s">
        <v>88</v>
      </c>
      <c r="B20" s="5">
        <v>17213</v>
      </c>
      <c r="C20" s="128"/>
      <c r="D20" s="115">
        <v>455</v>
      </c>
      <c r="E20" s="314">
        <v>17408</v>
      </c>
      <c r="F20" s="314">
        <v>52224</v>
      </c>
      <c r="G20" s="314">
        <v>1440</v>
      </c>
      <c r="H20" s="103" t="s">
        <v>129</v>
      </c>
    </row>
    <row r="21" spans="1:12" x14ac:dyDescent="0.2">
      <c r="A21" s="379" t="s">
        <v>161</v>
      </c>
      <c r="B21" s="380"/>
      <c r="C21" s="129"/>
      <c r="D21" s="116"/>
      <c r="E21" s="116"/>
      <c r="F21" s="116"/>
      <c r="G21" s="116"/>
      <c r="H21" s="101"/>
      <c r="I21" s="1" t="s">
        <v>167</v>
      </c>
      <c r="J21" s="1" t="s">
        <v>168</v>
      </c>
    </row>
    <row r="22" spans="1:12" x14ac:dyDescent="0.2">
      <c r="A22" s="104" t="s">
        <v>171</v>
      </c>
      <c r="B22" s="5">
        <v>25020</v>
      </c>
      <c r="C22" s="128"/>
      <c r="D22" s="115">
        <v>3259</v>
      </c>
      <c r="E22" s="314">
        <v>5993</v>
      </c>
      <c r="F22" s="314" t="s">
        <v>158</v>
      </c>
      <c r="G22" s="314" t="s">
        <v>158</v>
      </c>
      <c r="H22" s="103" t="s">
        <v>129</v>
      </c>
      <c r="I22">
        <v>34816</v>
      </c>
      <c r="J22">
        <v>504</v>
      </c>
    </row>
    <row r="23" spans="1:12" x14ac:dyDescent="0.2">
      <c r="A23" s="104" t="s">
        <v>182</v>
      </c>
      <c r="B23" s="5">
        <v>25020</v>
      </c>
      <c r="C23" s="128"/>
      <c r="D23" s="115">
        <v>3259</v>
      </c>
      <c r="E23" s="314">
        <v>2882</v>
      </c>
      <c r="F23" s="314" t="s">
        <v>158</v>
      </c>
      <c r="G23" s="314" t="s">
        <v>158</v>
      </c>
      <c r="H23" s="103" t="s">
        <v>129</v>
      </c>
      <c r="I23">
        <v>43008</v>
      </c>
      <c r="J23">
        <v>68608</v>
      </c>
    </row>
    <row r="24" spans="1:12" x14ac:dyDescent="0.2">
      <c r="A24" s="104" t="s">
        <v>172</v>
      </c>
      <c r="B24" s="5">
        <v>25020</v>
      </c>
      <c r="C24" s="128"/>
      <c r="D24" s="115">
        <v>3259</v>
      </c>
      <c r="E24" s="314">
        <f>(4873/4)</f>
        <v>1218.25</v>
      </c>
      <c r="F24" s="314" t="s">
        <v>158</v>
      </c>
      <c r="G24" s="314" t="s">
        <v>158</v>
      </c>
      <c r="H24" s="103" t="s">
        <v>129</v>
      </c>
      <c r="I24">
        <v>56320</v>
      </c>
      <c r="J24" s="315" t="s">
        <v>174</v>
      </c>
      <c r="K24" s="4" t="s">
        <v>169</v>
      </c>
      <c r="L24" s="4" t="s">
        <v>170</v>
      </c>
    </row>
    <row r="25" spans="1:12" x14ac:dyDescent="0.2">
      <c r="A25" s="104" t="s">
        <v>173</v>
      </c>
      <c r="B25" s="5">
        <v>25020</v>
      </c>
      <c r="C25" s="128"/>
      <c r="D25" s="115">
        <v>3259</v>
      </c>
      <c r="E25" s="314">
        <f>((1837*1024)/25)</f>
        <v>75243.520000000004</v>
      </c>
      <c r="F25" s="314" t="s">
        <v>158</v>
      </c>
      <c r="G25" s="314" t="s">
        <v>158</v>
      </c>
      <c r="H25" s="103" t="s">
        <v>129</v>
      </c>
      <c r="I25" s="4">
        <v>4757</v>
      </c>
      <c r="J25" s="4">
        <v>157</v>
      </c>
    </row>
    <row r="26" spans="1:12" x14ac:dyDescent="0.2">
      <c r="A26" s="118"/>
      <c r="B26" s="143"/>
      <c r="C26" s="144"/>
      <c r="D26" s="145"/>
      <c r="E26" s="313"/>
      <c r="F26" s="313"/>
      <c r="G26" s="313"/>
      <c r="H26" s="146"/>
    </row>
    <row r="27" spans="1:12" x14ac:dyDescent="0.2">
      <c r="A27" s="379" t="s">
        <v>21</v>
      </c>
      <c r="B27" s="380"/>
      <c r="C27" s="129"/>
      <c r="D27" s="116"/>
      <c r="E27" s="116"/>
      <c r="F27" s="116"/>
      <c r="G27" s="116"/>
      <c r="H27" s="101"/>
    </row>
    <row r="28" spans="1:12" hidden="1" x14ac:dyDescent="0.2">
      <c r="A28" s="106" t="s">
        <v>0</v>
      </c>
      <c r="B28" s="5"/>
      <c r="C28" s="310"/>
      <c r="D28" s="309"/>
      <c r="E28" s="309"/>
      <c r="F28" s="309"/>
      <c r="G28" s="116"/>
      <c r="H28" s="107"/>
    </row>
    <row r="29" spans="1:12" x14ac:dyDescent="0.2">
      <c r="A29" s="106" t="s">
        <v>42</v>
      </c>
      <c r="B29" s="5">
        <v>185</v>
      </c>
      <c r="C29" s="128"/>
      <c r="D29" s="120" t="s">
        <v>141</v>
      </c>
      <c r="E29" s="135">
        <v>221</v>
      </c>
      <c r="F29" s="135">
        <v>221</v>
      </c>
      <c r="G29" s="135">
        <v>221</v>
      </c>
      <c r="H29" s="103" t="s">
        <v>129</v>
      </c>
    </row>
    <row r="30" spans="1:12" x14ac:dyDescent="0.2">
      <c r="A30" s="379" t="s">
        <v>22</v>
      </c>
      <c r="B30" s="380"/>
      <c r="C30" s="312"/>
      <c r="D30" s="311"/>
      <c r="E30" s="311"/>
      <c r="F30" s="311"/>
      <c r="G30" s="311"/>
      <c r="H30" s="141"/>
    </row>
    <row r="31" spans="1:12" hidden="1" x14ac:dyDescent="0.2">
      <c r="A31" s="106" t="s">
        <v>0</v>
      </c>
      <c r="B31" s="5"/>
      <c r="C31" s="310"/>
      <c r="D31" s="309"/>
      <c r="E31" s="309"/>
      <c r="F31" s="309"/>
      <c r="G31" s="309"/>
      <c r="H31" s="107"/>
    </row>
    <row r="32" spans="1:12" x14ac:dyDescent="0.2">
      <c r="A32" s="106" t="s">
        <v>42</v>
      </c>
      <c r="B32" s="5">
        <v>0</v>
      </c>
      <c r="C32" s="310"/>
      <c r="D32" s="309"/>
      <c r="E32" s="136">
        <v>164</v>
      </c>
      <c r="F32" s="136">
        <v>164</v>
      </c>
      <c r="G32" s="136">
        <v>164</v>
      </c>
      <c r="H32" s="119" t="s">
        <v>129</v>
      </c>
    </row>
    <row r="33" spans="1:8" x14ac:dyDescent="0.2">
      <c r="A33" s="379" t="s">
        <v>110</v>
      </c>
      <c r="B33" s="380"/>
      <c r="C33" s="129"/>
      <c r="D33" s="116"/>
      <c r="E33" s="116"/>
      <c r="F33" s="116"/>
      <c r="G33" s="116"/>
      <c r="H33" s="101"/>
    </row>
    <row r="34" spans="1:8" x14ac:dyDescent="0.2">
      <c r="A34" s="104" t="s">
        <v>83</v>
      </c>
      <c r="B34" s="5">
        <v>44642</v>
      </c>
      <c r="C34" s="128"/>
      <c r="D34" s="115">
        <v>3038</v>
      </c>
      <c r="E34" s="308">
        <v>60416</v>
      </c>
      <c r="F34" s="308">
        <v>31744</v>
      </c>
      <c r="G34" s="308">
        <f>116736</f>
        <v>116736</v>
      </c>
      <c r="H34" s="103" t="s">
        <v>129</v>
      </c>
    </row>
    <row r="35" spans="1:8" x14ac:dyDescent="0.2">
      <c r="A35" s="104" t="s">
        <v>84</v>
      </c>
      <c r="B35" s="5">
        <v>1797</v>
      </c>
      <c r="C35" s="128"/>
      <c r="D35" s="115">
        <v>588</v>
      </c>
      <c r="E35" s="308">
        <v>11264</v>
      </c>
      <c r="F35" s="308">
        <v>24576</v>
      </c>
      <c r="G35" s="308">
        <f>57344</f>
        <v>57344</v>
      </c>
      <c r="H35" s="103" t="s">
        <v>129</v>
      </c>
    </row>
    <row r="36" spans="1:8" x14ac:dyDescent="0.2">
      <c r="A36" s="118" t="s">
        <v>136</v>
      </c>
      <c r="B36" s="5"/>
      <c r="C36" s="130"/>
      <c r="D36" s="5">
        <v>5622</v>
      </c>
      <c r="E36" s="307">
        <v>126976</v>
      </c>
      <c r="F36" s="307">
        <v>113664</v>
      </c>
      <c r="G36" s="307">
        <f>107520</f>
        <v>107520</v>
      </c>
      <c r="H36" s="127" t="s">
        <v>129</v>
      </c>
    </row>
    <row r="37" spans="1:8" x14ac:dyDescent="0.2">
      <c r="A37" s="118" t="s">
        <v>137</v>
      </c>
      <c r="B37" s="5"/>
      <c r="C37" s="130"/>
      <c r="D37" s="5">
        <v>1356</v>
      </c>
      <c r="E37" s="307">
        <v>55296</v>
      </c>
      <c r="F37" s="307">
        <v>31744</v>
      </c>
      <c r="G37" s="307">
        <f>340992</f>
        <v>340992</v>
      </c>
      <c r="H37" s="127" t="s">
        <v>129</v>
      </c>
    </row>
    <row r="38" spans="1:8" x14ac:dyDescent="0.2">
      <c r="A38" s="381" t="s">
        <v>59</v>
      </c>
      <c r="B38" s="382"/>
      <c r="C38" s="117"/>
      <c r="D38" s="117"/>
      <c r="E38" s="117"/>
      <c r="F38" s="117"/>
      <c r="G38" s="117"/>
      <c r="H38" s="101"/>
    </row>
    <row r="39" spans="1:8" x14ac:dyDescent="0.2">
      <c r="A39" s="108" t="s">
        <v>60</v>
      </c>
      <c r="B39" s="5">
        <v>1.3</v>
      </c>
      <c r="C39" s="115">
        <v>1.3</v>
      </c>
      <c r="D39" s="115">
        <v>1.3</v>
      </c>
      <c r="E39" s="137">
        <v>1.3</v>
      </c>
      <c r="F39" s="137">
        <v>1.3</v>
      </c>
      <c r="G39" s="137">
        <v>1.3</v>
      </c>
      <c r="H39" s="103"/>
    </row>
    <row r="40" spans="1:8" x14ac:dyDescent="0.2">
      <c r="A40" s="381" t="s">
        <v>95</v>
      </c>
      <c r="B40" s="382"/>
      <c r="C40" s="117"/>
      <c r="D40" s="117"/>
      <c r="E40" s="117"/>
      <c r="F40" s="117"/>
      <c r="G40" s="117"/>
      <c r="H40" s="101"/>
    </row>
    <row r="41" spans="1:8" x14ac:dyDescent="0.2">
      <c r="A41" s="109" t="s">
        <v>92</v>
      </c>
      <c r="B41" s="5">
        <v>7</v>
      </c>
      <c r="C41" s="5">
        <v>7</v>
      </c>
      <c r="D41" s="5">
        <v>7</v>
      </c>
      <c r="E41" s="138">
        <v>7</v>
      </c>
      <c r="F41" s="138">
        <v>7</v>
      </c>
      <c r="G41" s="138">
        <v>7</v>
      </c>
      <c r="H41" s="110"/>
    </row>
    <row r="42" spans="1:8" x14ac:dyDescent="0.2">
      <c r="A42" s="109" t="s">
        <v>93</v>
      </c>
      <c r="B42" s="5">
        <v>8</v>
      </c>
      <c r="C42" s="5">
        <v>8</v>
      </c>
      <c r="D42" s="5">
        <v>8</v>
      </c>
      <c r="E42" s="138">
        <v>8</v>
      </c>
      <c r="F42" s="138">
        <v>8</v>
      </c>
      <c r="G42" s="138">
        <v>8</v>
      </c>
      <c r="H42" s="110"/>
    </row>
    <row r="43" spans="1:8" x14ac:dyDescent="0.2">
      <c r="A43" s="109" t="s">
        <v>94</v>
      </c>
      <c r="B43" s="5">
        <v>10</v>
      </c>
      <c r="C43" s="5">
        <v>10</v>
      </c>
      <c r="D43" s="5">
        <v>10</v>
      </c>
      <c r="E43" s="138">
        <v>10</v>
      </c>
      <c r="F43" s="138">
        <v>10</v>
      </c>
      <c r="G43" s="138">
        <v>10</v>
      </c>
      <c r="H43" s="110"/>
    </row>
    <row r="44" spans="1:8" x14ac:dyDescent="0.2">
      <c r="A44" s="109" t="s">
        <v>96</v>
      </c>
      <c r="B44" s="5">
        <v>3</v>
      </c>
      <c r="C44" s="5">
        <v>3</v>
      </c>
      <c r="D44" s="119" t="s">
        <v>141</v>
      </c>
      <c r="E44" s="136" t="s">
        <v>141</v>
      </c>
      <c r="F44" s="136" t="s">
        <v>141</v>
      </c>
      <c r="G44" s="136" t="s">
        <v>141</v>
      </c>
      <c r="H44" s="110"/>
    </row>
    <row r="45" spans="1:8" x14ac:dyDescent="0.2">
      <c r="A45" s="109" t="s">
        <v>97</v>
      </c>
      <c r="B45" s="5">
        <v>15</v>
      </c>
      <c r="C45" s="5">
        <v>15</v>
      </c>
      <c r="D45" s="119" t="s">
        <v>141</v>
      </c>
      <c r="E45" s="136" t="s">
        <v>141</v>
      </c>
      <c r="F45" s="136" t="s">
        <v>141</v>
      </c>
      <c r="G45" s="136" t="s">
        <v>141</v>
      </c>
      <c r="H45" s="110"/>
    </row>
    <row r="46" spans="1:8" x14ac:dyDescent="0.2">
      <c r="A46" s="109" t="s">
        <v>98</v>
      </c>
      <c r="B46" s="5">
        <v>8</v>
      </c>
      <c r="C46" s="5">
        <v>8</v>
      </c>
      <c r="D46" s="119" t="s">
        <v>141</v>
      </c>
      <c r="E46" s="136" t="s">
        <v>141</v>
      </c>
      <c r="F46" s="136" t="s">
        <v>141</v>
      </c>
      <c r="G46" s="136" t="s">
        <v>141</v>
      </c>
      <c r="H46" s="110"/>
    </row>
    <row r="47" spans="1:8" x14ac:dyDescent="0.2">
      <c r="A47" s="109" t="s">
        <v>99</v>
      </c>
      <c r="B47" s="5">
        <v>12</v>
      </c>
      <c r="C47" s="5">
        <v>12</v>
      </c>
      <c r="D47" s="119" t="s">
        <v>141</v>
      </c>
      <c r="E47" s="136" t="s">
        <v>141</v>
      </c>
      <c r="F47" s="136" t="s">
        <v>141</v>
      </c>
      <c r="G47" s="136" t="s">
        <v>141</v>
      </c>
      <c r="H47" s="110"/>
    </row>
    <row r="48" spans="1:8" x14ac:dyDescent="0.2">
      <c r="A48" s="124" t="s">
        <v>100</v>
      </c>
      <c r="B48" s="125">
        <v>10</v>
      </c>
      <c r="C48" s="125">
        <v>10</v>
      </c>
      <c r="D48" s="125">
        <v>10</v>
      </c>
      <c r="E48" s="139">
        <v>10</v>
      </c>
      <c r="F48" s="139">
        <v>10</v>
      </c>
      <c r="G48" s="139">
        <v>10</v>
      </c>
      <c r="H48" s="126"/>
    </row>
    <row r="49" spans="1:8" ht="13.5" thickBot="1" x14ac:dyDescent="0.25">
      <c r="A49" s="111" t="s">
        <v>147</v>
      </c>
      <c r="B49" s="112"/>
      <c r="C49" s="112"/>
      <c r="D49" s="112">
        <v>14</v>
      </c>
      <c r="E49" s="140">
        <v>14</v>
      </c>
      <c r="F49" s="140">
        <v>14</v>
      </c>
      <c r="G49" s="140">
        <v>14</v>
      </c>
      <c r="H49" s="113"/>
    </row>
    <row r="52" spans="1:8" ht="18.600000000000001" customHeight="1" thickBot="1" x14ac:dyDescent="0.25">
      <c r="A52" s="363" t="s">
        <v>191</v>
      </c>
      <c r="B52" s="364"/>
      <c r="C52" s="364"/>
      <c r="D52" s="364"/>
      <c r="E52" s="365"/>
    </row>
    <row r="53" spans="1:8" ht="12.75" customHeight="1" thickBot="1" x14ac:dyDescent="0.25">
      <c r="A53" s="150" t="s">
        <v>528</v>
      </c>
      <c r="B53" s="149">
        <v>100</v>
      </c>
      <c r="C53" s="301"/>
      <c r="D53" s="21" t="s">
        <v>193</v>
      </c>
      <c r="E53" s="147"/>
    </row>
    <row r="54" spans="1:8" ht="12.75" customHeight="1" thickBot="1" x14ac:dyDescent="0.25">
      <c r="A54" s="150" t="s">
        <v>192</v>
      </c>
      <c r="B54" s="149">
        <v>1024</v>
      </c>
      <c r="C54" s="302" t="s">
        <v>158</v>
      </c>
      <c r="D54" s="21" t="s">
        <v>129</v>
      </c>
      <c r="E54" s="147"/>
    </row>
    <row r="56" spans="1:8" x14ac:dyDescent="0.2">
      <c r="A56" s="306"/>
    </row>
    <row r="58" spans="1:8" ht="91.5" customHeight="1" x14ac:dyDescent="0.2">
      <c r="A58" s="378" t="s">
        <v>131</v>
      </c>
      <c r="B58" s="378"/>
      <c r="C58" s="288"/>
      <c r="D58" s="288"/>
      <c r="E58" s="288"/>
      <c r="F58" s="288"/>
    </row>
    <row r="59" spans="1:8" x14ac:dyDescent="0.2">
      <c r="G59" s="288"/>
    </row>
  </sheetData>
  <sheetProtection algorithmName="SHA-512" hashValue="qBWNRGM1WaxXwgCU8Wn7EgdHyuUt0oH70b/tXzYBZKCPo99EE9tXTzeln1nw/qT4SV70qTSNb4VbEbCZpoLofg==" saltValue="0qqPZGnbM2nJ8JSFGMvEmg==" spinCount="100000" sheet="1" formatCells="0" formatColumns="0" formatRows="0" insertColumns="0" insertRows="0" insertHyperlinks="0" deleteColumns="0" deleteRows="0" sort="0" autoFilter="0" pivotTables="0"/>
  <mergeCells count="11">
    <mergeCell ref="A21:B21"/>
    <mergeCell ref="A52:E52"/>
    <mergeCell ref="A40:B40"/>
    <mergeCell ref="A58:B58"/>
    <mergeCell ref="A2:A3"/>
    <mergeCell ref="A33:B33"/>
    <mergeCell ref="A38:B38"/>
    <mergeCell ref="A11:B11"/>
    <mergeCell ref="A14:B14"/>
    <mergeCell ref="A27:B27"/>
    <mergeCell ref="A30:B30"/>
  </mergeCells>
  <pageMargins left="0.75" right="0.75" top="1" bottom="1" header="0.5" footer="0.5"/>
  <pageSetup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3B7F7-BB5A-4F84-B929-8CB82E9E0A1A}">
  <sheetPr>
    <tabColor theme="3" tint="0.39997558519241921"/>
  </sheetPr>
  <dimension ref="A1:U43"/>
  <sheetViews>
    <sheetView zoomScale="90" zoomScaleNormal="90" workbookViewId="0">
      <selection activeCell="B41" sqref="B41"/>
    </sheetView>
  </sheetViews>
  <sheetFormatPr defaultRowHeight="12.75" x14ac:dyDescent="0.2"/>
  <cols>
    <col min="1" max="1" width="47.140625" bestFit="1" customWidth="1"/>
    <col min="2" max="2" width="10.5703125" bestFit="1" customWidth="1"/>
    <col min="3" max="3" width="56.140625" style="7" customWidth="1"/>
    <col min="7" max="7" width="35" bestFit="1" customWidth="1"/>
    <col min="8" max="8" width="12.5703125" bestFit="1" customWidth="1"/>
    <col min="9" max="9" width="17" bestFit="1" customWidth="1"/>
    <col min="10" max="10" width="19.42578125" bestFit="1" customWidth="1"/>
    <col min="11" max="11" width="11.42578125" bestFit="1" customWidth="1"/>
  </cols>
  <sheetData>
    <row r="1" spans="1:11" x14ac:dyDescent="0.2">
      <c r="G1" s="4" t="s">
        <v>350</v>
      </c>
    </row>
    <row r="2" spans="1:11" ht="25.5" x14ac:dyDescent="0.2">
      <c r="A2" s="239" t="s">
        <v>349</v>
      </c>
      <c r="B2" s="162"/>
      <c r="C2" s="238"/>
      <c r="G2" s="242" t="s">
        <v>348</v>
      </c>
      <c r="H2" s="242" t="s">
        <v>347</v>
      </c>
      <c r="I2" s="242" t="s">
        <v>346</v>
      </c>
      <c r="J2" s="242" t="s">
        <v>345</v>
      </c>
      <c r="K2" s="242" t="s">
        <v>344</v>
      </c>
    </row>
    <row r="3" spans="1:11" x14ac:dyDescent="0.2">
      <c r="A3" s="239"/>
      <c r="B3" s="162" t="s">
        <v>340</v>
      </c>
      <c r="C3" s="238"/>
      <c r="G3" s="185" t="s">
        <v>296</v>
      </c>
      <c r="H3" s="185" t="s">
        <v>326</v>
      </c>
      <c r="I3" s="241">
        <f>(60/3)*8</f>
        <v>160</v>
      </c>
      <c r="J3" s="241">
        <v>1</v>
      </c>
      <c r="K3" s="185">
        <f>IF('Bandwidth Calculator'!C69="yes",((B9*J3)+B14),0)</f>
        <v>8</v>
      </c>
    </row>
    <row r="4" spans="1:11" x14ac:dyDescent="0.2">
      <c r="A4" s="28" t="s">
        <v>343</v>
      </c>
      <c r="B4" s="243">
        <f>'Bandwidth Calculator'!C10</f>
        <v>200</v>
      </c>
      <c r="C4" s="69"/>
      <c r="G4" s="185" t="s">
        <v>295</v>
      </c>
      <c r="H4" s="185" t="s">
        <v>326</v>
      </c>
      <c r="I4" s="241">
        <f>(60/3)*8</f>
        <v>160</v>
      </c>
      <c r="J4" s="241">
        <v>1</v>
      </c>
      <c r="K4" s="185">
        <f>IF('Bandwidth Calculator'!C70="yes",((B9*J4)+B14),0)</f>
        <v>8</v>
      </c>
    </row>
    <row r="5" spans="1:11" x14ac:dyDescent="0.2">
      <c r="A5" s="28" t="s">
        <v>342</v>
      </c>
      <c r="B5" s="243">
        <f>'Bandwidth Calculator'!C11</f>
        <v>8</v>
      </c>
      <c r="C5" s="69"/>
      <c r="G5" s="185" t="s">
        <v>294</v>
      </c>
      <c r="H5" s="185" t="s">
        <v>319</v>
      </c>
      <c r="I5" s="241">
        <v>50</v>
      </c>
      <c r="J5" s="241">
        <v>25</v>
      </c>
      <c r="K5" s="185">
        <f>IF('Bandwidth Calculator'!C71="yes",((B11*J5)+B14),0)</f>
        <v>0</v>
      </c>
    </row>
    <row r="6" spans="1:11" x14ac:dyDescent="0.2">
      <c r="G6" s="185" t="s">
        <v>293</v>
      </c>
      <c r="H6" s="185" t="s">
        <v>319</v>
      </c>
      <c r="I6" s="241">
        <v>1</v>
      </c>
      <c r="J6" s="241">
        <v>1</v>
      </c>
      <c r="K6" s="185">
        <f>IF('Bandwidth Calculator'!C72="yes",((B11*J6)+B14),0)</f>
        <v>8</v>
      </c>
    </row>
    <row r="7" spans="1:11" x14ac:dyDescent="0.2">
      <c r="A7" s="239" t="s">
        <v>341</v>
      </c>
      <c r="B7" s="239" t="s">
        <v>340</v>
      </c>
      <c r="C7" s="238"/>
      <c r="G7" s="185" t="s">
        <v>292</v>
      </c>
      <c r="H7" s="185" t="s">
        <v>319</v>
      </c>
      <c r="I7" s="241">
        <v>1</v>
      </c>
      <c r="J7" s="241">
        <v>1</v>
      </c>
      <c r="K7" s="185">
        <f>IF('Bandwidth Calculator'!C73="yes",((B11*J7)+B14),0)</f>
        <v>0</v>
      </c>
    </row>
    <row r="8" spans="1:11" x14ac:dyDescent="0.2">
      <c r="A8" s="77" t="s">
        <v>339</v>
      </c>
      <c r="B8" s="234">
        <v>10</v>
      </c>
      <c r="C8" s="69" t="s">
        <v>333</v>
      </c>
      <c r="G8" s="185"/>
      <c r="H8" s="185"/>
      <c r="I8" s="241"/>
      <c r="J8" s="241"/>
      <c r="K8" s="185"/>
    </row>
    <row r="9" spans="1:11" x14ac:dyDescent="0.2">
      <c r="A9" s="77" t="s">
        <v>338</v>
      </c>
      <c r="B9" s="234">
        <v>7</v>
      </c>
      <c r="C9" s="69" t="s">
        <v>333</v>
      </c>
      <c r="G9" s="242" t="s">
        <v>337</v>
      </c>
      <c r="H9" s="242"/>
      <c r="I9" s="242"/>
      <c r="J9" s="242"/>
      <c r="K9" s="242"/>
    </row>
    <row r="10" spans="1:11" x14ac:dyDescent="0.2">
      <c r="A10" s="77" t="s">
        <v>336</v>
      </c>
      <c r="B10" s="234">
        <v>10</v>
      </c>
      <c r="C10" s="69" t="s">
        <v>333</v>
      </c>
      <c r="G10" s="185" t="s">
        <v>289</v>
      </c>
      <c r="H10" s="185" t="s">
        <v>319</v>
      </c>
      <c r="I10" s="241">
        <v>50</v>
      </c>
      <c r="J10" s="241">
        <v>10</v>
      </c>
      <c r="K10" s="185">
        <f>IF('Bandwidth Calculator'!C75="yes",(J10*B10)+B14,0)</f>
        <v>0</v>
      </c>
    </row>
    <row r="11" spans="1:11" x14ac:dyDescent="0.2">
      <c r="A11" s="77" t="s">
        <v>335</v>
      </c>
      <c r="B11" s="234">
        <v>7</v>
      </c>
      <c r="C11" s="69" t="s">
        <v>333</v>
      </c>
      <c r="G11" s="185" t="s">
        <v>288</v>
      </c>
      <c r="H11" s="185" t="s">
        <v>326</v>
      </c>
      <c r="I11" s="241">
        <v>400</v>
      </c>
      <c r="J11" s="241">
        <v>40</v>
      </c>
      <c r="K11" s="185">
        <f>IF('Bandwidth Calculator'!C76="yes",(J11*B8)+B14,0)</f>
        <v>0</v>
      </c>
    </row>
    <row r="12" spans="1:11" x14ac:dyDescent="0.2">
      <c r="A12" s="77" t="s">
        <v>334</v>
      </c>
      <c r="B12" s="234">
        <v>2048</v>
      </c>
      <c r="C12" s="69" t="s">
        <v>333</v>
      </c>
      <c r="G12" s="185" t="s">
        <v>287</v>
      </c>
      <c r="H12" s="185" t="s">
        <v>326</v>
      </c>
      <c r="I12" s="241">
        <v>250</v>
      </c>
      <c r="J12" s="241">
        <v>25</v>
      </c>
      <c r="K12" s="185">
        <f>IF('Bandwidth Calculator'!C77="yes",(J12*B8)+B14,0)</f>
        <v>0</v>
      </c>
    </row>
    <row r="13" spans="1:11" x14ac:dyDescent="0.2">
      <c r="A13" s="77" t="s">
        <v>332</v>
      </c>
      <c r="B13" s="234">
        <f>60</f>
        <v>60</v>
      </c>
      <c r="C13" s="69" t="s">
        <v>331</v>
      </c>
      <c r="G13" s="185" t="s">
        <v>286</v>
      </c>
      <c r="H13" s="185" t="s">
        <v>326</v>
      </c>
      <c r="I13" s="241">
        <v>400</v>
      </c>
      <c r="J13" s="241">
        <v>40</v>
      </c>
      <c r="K13" s="185">
        <f>IF('Bandwidth Calculator'!C78="yes",(J13*B8)+B14,0)</f>
        <v>401</v>
      </c>
    </row>
    <row r="14" spans="1:11" x14ac:dyDescent="0.2">
      <c r="A14" s="77" t="s">
        <v>330</v>
      </c>
      <c r="B14" s="234">
        <v>1</v>
      </c>
      <c r="C14" s="69" t="s">
        <v>329</v>
      </c>
      <c r="G14" s="185" t="s">
        <v>285</v>
      </c>
      <c r="H14" s="185" t="s">
        <v>326</v>
      </c>
      <c r="I14" s="241">
        <v>250</v>
      </c>
      <c r="J14" s="241">
        <v>25</v>
      </c>
      <c r="K14" s="185">
        <f>IF('Bandwidth Calculator'!C79="yes",(J14*B8)+B14,0)</f>
        <v>251</v>
      </c>
    </row>
    <row r="15" spans="1:11" x14ac:dyDescent="0.2">
      <c r="A15" s="77" t="s">
        <v>328</v>
      </c>
      <c r="B15" s="234">
        <v>1.1000000000000001</v>
      </c>
      <c r="C15" s="69" t="s">
        <v>327</v>
      </c>
      <c r="G15" s="185" t="s">
        <v>284</v>
      </c>
      <c r="H15" s="185" t="s">
        <v>326</v>
      </c>
      <c r="I15" s="241">
        <v>50</v>
      </c>
      <c r="J15" s="241">
        <v>10</v>
      </c>
      <c r="K15" s="185">
        <f>IF('Bandwidth Calculator'!C80="yes",(J15*B8)+B14,0)</f>
        <v>0</v>
      </c>
    </row>
    <row r="16" spans="1:11" ht="25.5" x14ac:dyDescent="0.2">
      <c r="A16" s="236" t="s">
        <v>325</v>
      </c>
      <c r="B16" s="235">
        <f>( SUM(K3:K7)) * B15</f>
        <v>26.400000000000002</v>
      </c>
      <c r="C16" s="69" t="s">
        <v>324</v>
      </c>
      <c r="G16" s="185" t="s">
        <v>283</v>
      </c>
      <c r="H16" s="185" t="s">
        <v>319</v>
      </c>
      <c r="I16" s="241">
        <v>50</v>
      </c>
      <c r="J16" s="241">
        <v>10</v>
      </c>
      <c r="K16" s="185">
        <f>IF('Bandwidth Calculator'!C81="yes",(J16*B10)+B14,0)</f>
        <v>0</v>
      </c>
    </row>
    <row r="17" spans="1:11" ht="25.5" x14ac:dyDescent="0.2">
      <c r="A17" s="236" t="s">
        <v>323</v>
      </c>
      <c r="B17" s="235">
        <f>(SUM(K10:K18) )*B15</f>
        <v>1269.4000000000001</v>
      </c>
      <c r="C17" s="69" t="s">
        <v>322</v>
      </c>
      <c r="G17" s="185" t="s">
        <v>281</v>
      </c>
      <c r="H17" s="185" t="s">
        <v>319</v>
      </c>
      <c r="I17" s="241">
        <v>250</v>
      </c>
      <c r="J17" s="241">
        <v>25</v>
      </c>
      <c r="K17" s="185">
        <f>IF('Bandwidth Calculator'!C82="yes",(J17*B10)+B14,0)</f>
        <v>251</v>
      </c>
    </row>
    <row r="18" spans="1:11" x14ac:dyDescent="0.2">
      <c r="A18" s="236" t="s">
        <v>321</v>
      </c>
      <c r="B18" s="240">
        <f>((COUNTIF(K3:K7,"&lt;&gt;0")) * B12)</f>
        <v>6144</v>
      </c>
      <c r="C18" s="69" t="s">
        <v>320</v>
      </c>
      <c r="G18" s="185" t="s">
        <v>280</v>
      </c>
      <c r="H18" s="185" t="s">
        <v>319</v>
      </c>
      <c r="I18" s="241">
        <v>250</v>
      </c>
      <c r="J18" s="241">
        <v>25</v>
      </c>
      <c r="K18" s="185">
        <f>IF('Bandwidth Calculator'!C83="yes",(J18*B10)+B14,0)</f>
        <v>251</v>
      </c>
    </row>
    <row r="19" spans="1:11" x14ac:dyDescent="0.2">
      <c r="A19" s="236" t="s">
        <v>318</v>
      </c>
      <c r="B19" s="240">
        <f>((COUNTIF(K10:K18,"&lt;&gt;0"))*B12)</f>
        <v>8192</v>
      </c>
      <c r="C19" s="69" t="s">
        <v>317</v>
      </c>
    </row>
    <row r="22" spans="1:11" x14ac:dyDescent="0.2">
      <c r="A22" s="239" t="s">
        <v>316</v>
      </c>
      <c r="B22" s="239" t="s">
        <v>208</v>
      </c>
      <c r="C22" s="238"/>
    </row>
    <row r="23" spans="1:11" x14ac:dyDescent="0.2">
      <c r="A23" s="77" t="s">
        <v>315</v>
      </c>
      <c r="B23" s="237">
        <f>(B4*B16)*8</f>
        <v>42240</v>
      </c>
      <c r="C23" s="236" t="s">
        <v>8</v>
      </c>
    </row>
    <row r="24" spans="1:11" x14ac:dyDescent="0.2">
      <c r="A24" s="77" t="s">
        <v>314</v>
      </c>
      <c r="B24" s="237">
        <f>(B5*B17)*8</f>
        <v>81241.600000000006</v>
      </c>
      <c r="C24" s="236" t="s">
        <v>8</v>
      </c>
    </row>
    <row r="25" spans="1:11" x14ac:dyDescent="0.2">
      <c r="A25" s="77" t="s">
        <v>313</v>
      </c>
      <c r="B25" s="235">
        <f>B23+B24</f>
        <v>123481.60000000001</v>
      </c>
      <c r="C25" s="236" t="s">
        <v>8</v>
      </c>
    </row>
    <row r="26" spans="1:11" x14ac:dyDescent="0.2">
      <c r="A26" s="77" t="s">
        <v>312</v>
      </c>
      <c r="B26" s="237">
        <f>(B18*B4)*8</f>
        <v>9830400</v>
      </c>
      <c r="C26" s="236" t="s">
        <v>8</v>
      </c>
    </row>
    <row r="27" spans="1:11" x14ac:dyDescent="0.2">
      <c r="A27" s="77" t="s">
        <v>311</v>
      </c>
      <c r="B27" s="237">
        <f>B19*B5*8</f>
        <v>524288</v>
      </c>
      <c r="C27" s="236" t="s">
        <v>8</v>
      </c>
    </row>
    <row r="28" spans="1:11" x14ac:dyDescent="0.2">
      <c r="A28" s="77" t="s">
        <v>310</v>
      </c>
      <c r="B28" s="235">
        <f>B26+B27</f>
        <v>10354688</v>
      </c>
      <c r="C28" s="236" t="s">
        <v>8</v>
      </c>
    </row>
    <row r="29" spans="1:11" x14ac:dyDescent="0.2">
      <c r="A29" s="77" t="s">
        <v>309</v>
      </c>
      <c r="B29" s="235">
        <f>(B18+B16)*B4*8</f>
        <v>9872640</v>
      </c>
      <c r="C29" s="236" t="s">
        <v>8</v>
      </c>
    </row>
    <row r="30" spans="1:11" x14ac:dyDescent="0.2">
      <c r="A30" s="77" t="s">
        <v>308</v>
      </c>
      <c r="B30" s="235">
        <f>(B19+B17)*B5*8</f>
        <v>605529.59999999998</v>
      </c>
      <c r="C30" s="236" t="s">
        <v>8</v>
      </c>
    </row>
    <row r="31" spans="1:11" x14ac:dyDescent="0.2">
      <c r="A31" s="236"/>
      <c r="B31" s="235"/>
      <c r="C31" s="69"/>
    </row>
    <row r="32" spans="1:11" x14ac:dyDescent="0.2">
      <c r="A32" s="77"/>
      <c r="B32" s="234"/>
      <c r="C32" s="69"/>
    </row>
    <row r="33" spans="1:21" x14ac:dyDescent="0.2">
      <c r="A33" s="77"/>
      <c r="B33" s="234"/>
      <c r="C33" s="69"/>
    </row>
    <row r="36" spans="1:21" x14ac:dyDescent="0.2">
      <c r="B36" s="233"/>
    </row>
    <row r="42" spans="1:21" x14ac:dyDescent="0.2">
      <c r="G42" s="4"/>
    </row>
    <row r="43" spans="1:21" x14ac:dyDescent="0.2">
      <c r="U43">
        <f>T43/300</f>
        <v>0</v>
      </c>
    </row>
  </sheetData>
  <sheetProtection algorithmName="SHA-512" hashValue="4MiJk7TAHVXYnpkMCEQXgP/jTDxHUgd8wIGSu51IYaRXJB5B9g5IcNBdWFYu2hAYjxyVaNM+EZUe6P1GTWVtQQ==" saltValue="QfeHMN03ttJPKnoNwqjrJQ==" spinCount="100000" sheet="1" selectLockedCells="1" selectUnlockedCells="1"/>
  <dataConsolid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F48D-D900-41F8-A469-6D9AFEC1B3CD}">
  <sheetPr>
    <tabColor theme="5" tint="0.39997558519241921"/>
  </sheetPr>
  <dimension ref="A1:O78"/>
  <sheetViews>
    <sheetView zoomScaleNormal="100" workbookViewId="0">
      <selection activeCell="B41" sqref="B41"/>
    </sheetView>
  </sheetViews>
  <sheetFormatPr defaultColWidth="9.140625" defaultRowHeight="12.75" x14ac:dyDescent="0.2"/>
  <cols>
    <col min="1" max="1" width="52.85546875" style="244" bestFit="1" customWidth="1"/>
    <col min="2" max="2" width="19.5703125" style="244" bestFit="1" customWidth="1"/>
    <col min="3" max="3" width="104.5703125" style="244" bestFit="1" customWidth="1"/>
    <col min="4" max="4" width="9.140625" style="244"/>
    <col min="5" max="5" width="15" style="244" customWidth="1"/>
    <col min="6" max="6" width="24" style="244" customWidth="1"/>
    <col min="7" max="16384" width="9.140625" style="244"/>
  </cols>
  <sheetData>
    <row r="1" spans="1:3" x14ac:dyDescent="0.2">
      <c r="A1" s="161" t="s">
        <v>274</v>
      </c>
      <c r="B1" s="161"/>
      <c r="C1" s="161"/>
    </row>
    <row r="2" spans="1:3" x14ac:dyDescent="0.2">
      <c r="A2" s="161" t="s">
        <v>381</v>
      </c>
      <c r="B2" s="161" t="s">
        <v>208</v>
      </c>
      <c r="C2" s="161"/>
    </row>
    <row r="3" spans="1:3" x14ac:dyDescent="0.2">
      <c r="A3" s="28" t="s">
        <v>273</v>
      </c>
      <c r="B3" s="254">
        <f>'Bandwidth Calculator'!C89</f>
        <v>20</v>
      </c>
      <c r="C3" s="28" t="s">
        <v>270</v>
      </c>
    </row>
    <row r="4" spans="1:3" x14ac:dyDescent="0.2">
      <c r="A4" s="28" t="s">
        <v>271</v>
      </c>
      <c r="B4" s="254">
        <f>'Bandwidth Calculator'!C90</f>
        <v>1</v>
      </c>
      <c r="C4" s="28" t="s">
        <v>270</v>
      </c>
    </row>
    <row r="5" spans="1:3" x14ac:dyDescent="0.2">
      <c r="A5" s="28" t="s">
        <v>413</v>
      </c>
      <c r="B5" s="256">
        <f>B3+B4</f>
        <v>21</v>
      </c>
      <c r="C5" s="28" t="s">
        <v>270</v>
      </c>
    </row>
    <row r="6" spans="1:3" x14ac:dyDescent="0.2">
      <c r="A6" s="28" t="s">
        <v>268</v>
      </c>
      <c r="B6" s="254">
        <f>'Bandwidth Calculator'!C91</f>
        <v>10</v>
      </c>
      <c r="C6" s="28"/>
    </row>
    <row r="7" spans="1:3" x14ac:dyDescent="0.2">
      <c r="A7" s="28" t="s">
        <v>266</v>
      </c>
      <c r="B7" s="254">
        <f>'Bandwidth Calculator'!C92</f>
        <v>600</v>
      </c>
      <c r="C7" s="28" t="s">
        <v>412</v>
      </c>
    </row>
    <row r="8" spans="1:3" x14ac:dyDescent="0.2">
      <c r="A8" s="28" t="s">
        <v>264</v>
      </c>
      <c r="B8" s="254">
        <f>'Bandwidth Calculator'!C93</f>
        <v>60</v>
      </c>
      <c r="C8" s="255" t="s">
        <v>411</v>
      </c>
    </row>
    <row r="9" spans="1:3" x14ac:dyDescent="0.2">
      <c r="A9" s="28" t="s">
        <v>410</v>
      </c>
      <c r="B9" s="248">
        <v>3</v>
      </c>
      <c r="C9" s="255" t="s">
        <v>263</v>
      </c>
    </row>
    <row r="10" spans="1:3" x14ac:dyDescent="0.2">
      <c r="A10" s="28" t="s">
        <v>409</v>
      </c>
      <c r="B10" s="247">
        <f>B7*(B6/100)</f>
        <v>60</v>
      </c>
      <c r="C10" s="255" t="s">
        <v>408</v>
      </c>
    </row>
    <row r="11" spans="1:3" x14ac:dyDescent="0.2">
      <c r="A11" s="28" t="s">
        <v>407</v>
      </c>
      <c r="B11" s="247">
        <f>B7-B10</f>
        <v>540</v>
      </c>
      <c r="C11" s="255" t="s">
        <v>406</v>
      </c>
    </row>
    <row r="12" spans="1:3" x14ac:dyDescent="0.2">
      <c r="A12" s="28" t="s">
        <v>235</v>
      </c>
      <c r="B12" s="254">
        <f>'Bandwidth Calculator'!C94</f>
        <v>35</v>
      </c>
      <c r="C12" s="28" t="s">
        <v>227</v>
      </c>
    </row>
    <row r="13" spans="1:3" x14ac:dyDescent="0.2">
      <c r="A13" s="28" t="s">
        <v>259</v>
      </c>
      <c r="B13" s="254">
        <f>'Bandwidth Calculator'!C95</f>
        <v>5</v>
      </c>
      <c r="C13" s="28" t="s">
        <v>405</v>
      </c>
    </row>
    <row r="14" spans="1:3" x14ac:dyDescent="0.2">
      <c r="A14" s="28" t="s">
        <v>404</v>
      </c>
      <c r="B14" s="248">
        <f>IF((B13&gt;5),5,B13) * B12</f>
        <v>175</v>
      </c>
      <c r="C14" s="28" t="s">
        <v>403</v>
      </c>
    </row>
    <row r="15" spans="1:3" x14ac:dyDescent="0.2">
      <c r="A15" s="28" t="s">
        <v>402</v>
      </c>
      <c r="B15" s="247">
        <f>B14*(B6/100)</f>
        <v>17.5</v>
      </c>
      <c r="C15" s="28" t="s">
        <v>401</v>
      </c>
    </row>
    <row r="16" spans="1:3" x14ac:dyDescent="0.2">
      <c r="A16" s="28" t="s">
        <v>400</v>
      </c>
      <c r="B16" s="247">
        <f>B14-B15</f>
        <v>157.5</v>
      </c>
      <c r="C16" s="28" t="s">
        <v>399</v>
      </c>
    </row>
    <row r="17" spans="1:3" x14ac:dyDescent="0.2">
      <c r="A17" s="252"/>
      <c r="B17" s="253"/>
      <c r="C17" s="252"/>
    </row>
    <row r="21" spans="1:3" x14ac:dyDescent="0.2">
      <c r="A21" s="161" t="s">
        <v>398</v>
      </c>
      <c r="B21" s="161" t="s">
        <v>397</v>
      </c>
    </row>
    <row r="22" spans="1:3" x14ac:dyDescent="0.2">
      <c r="A22" s="28" t="s">
        <v>396</v>
      </c>
      <c r="B22" s="251">
        <v>5</v>
      </c>
    </row>
    <row r="23" spans="1:3" x14ac:dyDescent="0.2">
      <c r="A23" s="28" t="s">
        <v>395</v>
      </c>
      <c r="B23" s="251">
        <v>4</v>
      </c>
    </row>
    <row r="24" spans="1:3" x14ac:dyDescent="0.2">
      <c r="A24" s="28" t="s">
        <v>394</v>
      </c>
      <c r="B24" s="251">
        <v>2</v>
      </c>
    </row>
    <row r="25" spans="1:3" x14ac:dyDescent="0.2">
      <c r="A25" s="28" t="s">
        <v>393</v>
      </c>
      <c r="B25" s="251">
        <v>4</v>
      </c>
    </row>
    <row r="26" spans="1:3" x14ac:dyDescent="0.2">
      <c r="A26" s="28" t="s">
        <v>392</v>
      </c>
      <c r="B26" s="251">
        <v>4</v>
      </c>
    </row>
    <row r="27" spans="1:3" x14ac:dyDescent="0.2">
      <c r="A27" s="28" t="s">
        <v>391</v>
      </c>
      <c r="B27" s="251">
        <v>8</v>
      </c>
    </row>
    <row r="28" spans="1:3" x14ac:dyDescent="0.2">
      <c r="A28" s="28" t="s">
        <v>390</v>
      </c>
      <c r="B28" s="251">
        <v>0</v>
      </c>
    </row>
    <row r="29" spans="1:3" x14ac:dyDescent="0.2">
      <c r="A29" s="28" t="s">
        <v>389</v>
      </c>
      <c r="B29" s="251">
        <v>6</v>
      </c>
    </row>
    <row r="30" spans="1:3" x14ac:dyDescent="0.2">
      <c r="A30" s="28" t="s">
        <v>388</v>
      </c>
      <c r="B30" s="251">
        <v>2</v>
      </c>
    </row>
    <row r="31" spans="1:3" x14ac:dyDescent="0.2">
      <c r="A31" s="28" t="s">
        <v>387</v>
      </c>
      <c r="B31" s="251">
        <v>1</v>
      </c>
    </row>
    <row r="32" spans="1:3" x14ac:dyDescent="0.2">
      <c r="A32" s="28"/>
      <c r="B32" s="251"/>
    </row>
    <row r="35" spans="1:15" x14ac:dyDescent="0.2">
      <c r="A35" s="161" t="s">
        <v>538</v>
      </c>
      <c r="B35" s="161"/>
      <c r="C35" s="161"/>
    </row>
    <row r="36" spans="1:15" x14ac:dyDescent="0.2">
      <c r="A36" s="161" t="s">
        <v>381</v>
      </c>
      <c r="B36" s="161" t="s">
        <v>380</v>
      </c>
      <c r="C36" s="161" t="s">
        <v>207</v>
      </c>
    </row>
    <row r="37" spans="1:15" x14ac:dyDescent="0.2">
      <c r="A37" s="28" t="s">
        <v>386</v>
      </c>
      <c r="B37" s="248">
        <v>900</v>
      </c>
      <c r="C37" s="28" t="s">
        <v>370</v>
      </c>
    </row>
    <row r="38" spans="1:15" x14ac:dyDescent="0.2">
      <c r="A38" s="28" t="s">
        <v>377</v>
      </c>
      <c r="B38" s="248">
        <f>B3*B23</f>
        <v>80</v>
      </c>
      <c r="C38" s="28" t="s">
        <v>370</v>
      </c>
    </row>
    <row r="39" spans="1:15" x14ac:dyDescent="0.2">
      <c r="A39" s="28" t="s">
        <v>376</v>
      </c>
      <c r="B39" s="248">
        <v>0</v>
      </c>
      <c r="C39" s="28" t="s">
        <v>370</v>
      </c>
    </row>
    <row r="40" spans="1:15" x14ac:dyDescent="0.2">
      <c r="A40" s="28" t="s">
        <v>375</v>
      </c>
      <c r="B40" s="248">
        <f>B3*B24</f>
        <v>40</v>
      </c>
      <c r="C40" s="28" t="s">
        <v>370</v>
      </c>
    </row>
    <row r="41" spans="1:15" x14ac:dyDescent="0.2">
      <c r="A41" s="28" t="s">
        <v>385</v>
      </c>
      <c r="B41" s="248">
        <f>(B40+B5)</f>
        <v>61</v>
      </c>
      <c r="C41" s="28" t="s">
        <v>370</v>
      </c>
      <c r="O41" s="244">
        <f>1024*2</f>
        <v>2048</v>
      </c>
    </row>
    <row r="42" spans="1:15" x14ac:dyDescent="0.2">
      <c r="A42" s="28" t="s">
        <v>373</v>
      </c>
      <c r="B42" s="248">
        <f>B4*B31</f>
        <v>1</v>
      </c>
      <c r="C42" s="28" t="s">
        <v>370</v>
      </c>
      <c r="O42" s="244">
        <f>O41/2</f>
        <v>1024</v>
      </c>
    </row>
    <row r="43" spans="1:15" x14ac:dyDescent="0.2">
      <c r="A43" s="246" t="s">
        <v>384</v>
      </c>
      <c r="B43" s="248">
        <f>B3+B37+B38+B39+B40</f>
        <v>1040</v>
      </c>
      <c r="C43" s="28" t="s">
        <v>370</v>
      </c>
    </row>
    <row r="44" spans="1:15" x14ac:dyDescent="0.2">
      <c r="A44" s="246" t="s">
        <v>383</v>
      </c>
      <c r="B44" s="248">
        <f>B43+B42+B41</f>
        <v>1102</v>
      </c>
      <c r="C44" s="28" t="s">
        <v>370</v>
      </c>
    </row>
    <row r="45" spans="1:15" x14ac:dyDescent="0.2">
      <c r="A45" s="246"/>
      <c r="B45" s="248"/>
      <c r="C45" s="28"/>
    </row>
    <row r="48" spans="1:15" x14ac:dyDescent="0.2">
      <c r="A48" s="161" t="s">
        <v>382</v>
      </c>
      <c r="B48" s="161"/>
      <c r="C48" s="161"/>
    </row>
    <row r="49" spans="1:3" x14ac:dyDescent="0.2">
      <c r="A49" s="161" t="s">
        <v>381</v>
      </c>
      <c r="B49" s="161" t="s">
        <v>380</v>
      </c>
      <c r="C49" s="161" t="s">
        <v>207</v>
      </c>
    </row>
    <row r="50" spans="1:3" x14ac:dyDescent="0.2">
      <c r="A50" s="28" t="s">
        <v>379</v>
      </c>
      <c r="B50" s="248">
        <f>B3*B22</f>
        <v>100</v>
      </c>
      <c r="C50" s="28" t="s">
        <v>370</v>
      </c>
    </row>
    <row r="51" spans="1:3" x14ac:dyDescent="0.2">
      <c r="A51" s="28" t="s">
        <v>378</v>
      </c>
      <c r="B51" s="248">
        <f>B3*B25</f>
        <v>80</v>
      </c>
      <c r="C51" s="28" t="s">
        <v>370</v>
      </c>
    </row>
    <row r="52" spans="1:3" x14ac:dyDescent="0.2">
      <c r="A52" s="28" t="s">
        <v>377</v>
      </c>
      <c r="B52" s="248">
        <f>B3*B23</f>
        <v>80</v>
      </c>
      <c r="C52" s="28" t="s">
        <v>370</v>
      </c>
    </row>
    <row r="53" spans="1:3" x14ac:dyDescent="0.2">
      <c r="A53" s="28" t="s">
        <v>376</v>
      </c>
      <c r="B53" s="248">
        <v>0</v>
      </c>
      <c r="C53" s="28" t="s">
        <v>370</v>
      </c>
    </row>
    <row r="54" spans="1:3" x14ac:dyDescent="0.2">
      <c r="A54" s="28" t="s">
        <v>375</v>
      </c>
      <c r="B54" s="248">
        <f>B3*B24</f>
        <v>40</v>
      </c>
      <c r="C54" s="28" t="s">
        <v>370</v>
      </c>
    </row>
    <row r="55" spans="1:3" x14ac:dyDescent="0.2">
      <c r="A55" s="28" t="s">
        <v>374</v>
      </c>
      <c r="B55" s="248">
        <f>B5*B29</f>
        <v>126</v>
      </c>
      <c r="C55" s="28" t="s">
        <v>370</v>
      </c>
    </row>
    <row r="56" spans="1:3" x14ac:dyDescent="0.2">
      <c r="A56" s="28" t="s">
        <v>373</v>
      </c>
      <c r="B56" s="248">
        <f>B4*B26</f>
        <v>4</v>
      </c>
      <c r="C56" s="28" t="s">
        <v>370</v>
      </c>
    </row>
    <row r="57" spans="1:3" x14ac:dyDescent="0.2">
      <c r="A57" s="246" t="s">
        <v>372</v>
      </c>
      <c r="B57" s="248">
        <f>B3+B50+B52+B53+B54</f>
        <v>240</v>
      </c>
      <c r="C57" s="28" t="s">
        <v>370</v>
      </c>
    </row>
    <row r="58" spans="1:3" x14ac:dyDescent="0.2">
      <c r="A58" s="246" t="s">
        <v>371</v>
      </c>
      <c r="B58" s="248">
        <f>B57+B56+B55</f>
        <v>370</v>
      </c>
      <c r="C58" s="28" t="s">
        <v>370</v>
      </c>
    </row>
    <row r="59" spans="1:3" x14ac:dyDescent="0.2">
      <c r="A59" s="246"/>
      <c r="B59" s="248"/>
      <c r="C59" s="28"/>
    </row>
    <row r="63" spans="1:3" x14ac:dyDescent="0.2">
      <c r="A63" s="161" t="s">
        <v>369</v>
      </c>
      <c r="B63" s="161"/>
      <c r="C63" s="161"/>
    </row>
    <row r="64" spans="1:3" x14ac:dyDescent="0.2">
      <c r="A64" s="161" t="s">
        <v>360</v>
      </c>
      <c r="B64" s="161" t="s">
        <v>359</v>
      </c>
      <c r="C64" s="161" t="s">
        <v>207</v>
      </c>
    </row>
    <row r="65" spans="1:3" x14ac:dyDescent="0.2">
      <c r="A65" s="28" t="s">
        <v>368</v>
      </c>
      <c r="B65" s="248">
        <f>IF(B11&gt;0,(B11*B43),0)</f>
        <v>561600</v>
      </c>
      <c r="C65" s="28" t="s">
        <v>367</v>
      </c>
    </row>
    <row r="66" spans="1:3" x14ac:dyDescent="0.2">
      <c r="A66" s="28" t="s">
        <v>366</v>
      </c>
      <c r="B66" s="248">
        <f>IF(B10&gt;=1,(B10*B44),0)</f>
        <v>66120</v>
      </c>
      <c r="C66" s="28" t="s">
        <v>365</v>
      </c>
    </row>
    <row r="67" spans="1:3" x14ac:dyDescent="0.2">
      <c r="A67" s="28" t="s">
        <v>364</v>
      </c>
      <c r="B67" s="247">
        <f>IF((B16&gt;0),(B43*B16),0)</f>
        <v>163800</v>
      </c>
      <c r="C67" s="28" t="s">
        <v>363</v>
      </c>
    </row>
    <row r="68" spans="1:3" x14ac:dyDescent="0.2">
      <c r="A68" s="28" t="s">
        <v>352</v>
      </c>
      <c r="B68" s="247">
        <f>B44*B15</f>
        <v>19285</v>
      </c>
      <c r="C68" s="28" t="s">
        <v>362</v>
      </c>
    </row>
    <row r="69" spans="1:3" x14ac:dyDescent="0.2">
      <c r="A69" s="246" t="s">
        <v>63</v>
      </c>
      <c r="B69" s="250">
        <f>SUM(B65:B68)*8/(60*B8)</f>
        <v>1801.7888888888888</v>
      </c>
      <c r="C69" s="28" t="s">
        <v>8</v>
      </c>
    </row>
    <row r="70" spans="1:3" x14ac:dyDescent="0.2">
      <c r="B70" s="249"/>
    </row>
    <row r="72" spans="1:3" x14ac:dyDescent="0.2">
      <c r="A72" s="161" t="s">
        <v>361</v>
      </c>
      <c r="B72" s="161"/>
      <c r="C72" s="161"/>
    </row>
    <row r="73" spans="1:3" x14ac:dyDescent="0.2">
      <c r="A73" s="161" t="s">
        <v>360</v>
      </c>
      <c r="B73" s="161" t="s">
        <v>359</v>
      </c>
      <c r="C73" s="161" t="s">
        <v>207</v>
      </c>
    </row>
    <row r="74" spans="1:3" x14ac:dyDescent="0.2">
      <c r="A74" s="28" t="s">
        <v>358</v>
      </c>
      <c r="B74" s="248">
        <f>B11*B57</f>
        <v>129600</v>
      </c>
      <c r="C74" s="28" t="s">
        <v>357</v>
      </c>
    </row>
    <row r="75" spans="1:3" x14ac:dyDescent="0.2">
      <c r="A75" s="28" t="s">
        <v>356</v>
      </c>
      <c r="B75" s="248">
        <f>B10*B58</f>
        <v>22200</v>
      </c>
      <c r="C75" s="28" t="s">
        <v>355</v>
      </c>
    </row>
    <row r="76" spans="1:3" x14ac:dyDescent="0.2">
      <c r="A76" s="28" t="s">
        <v>354</v>
      </c>
      <c r="B76" s="247">
        <f>B57*B16</f>
        <v>37800</v>
      </c>
      <c r="C76" s="28" t="s">
        <v>353</v>
      </c>
    </row>
    <row r="77" spans="1:3" x14ac:dyDescent="0.2">
      <c r="A77" s="28" t="s">
        <v>352</v>
      </c>
      <c r="B77" s="247">
        <f>B58*B15</f>
        <v>6475</v>
      </c>
      <c r="C77" s="28" t="s">
        <v>351</v>
      </c>
    </row>
    <row r="78" spans="1:3" x14ac:dyDescent="0.2">
      <c r="A78" s="246" t="s">
        <v>63</v>
      </c>
      <c r="B78" s="245">
        <f>SUM(B74:B77)*8/(60*B8)</f>
        <v>435.72222222222223</v>
      </c>
      <c r="C78" s="28" t="s">
        <v>8</v>
      </c>
    </row>
  </sheetData>
  <sheetProtection algorithmName="SHA-512" hashValue="Xj1wY78AbzAhNaukjq5MBAJVicEE99bLuSnU6XOfdXl3vpkxUrMYgjcV6kRNKSdeJbsOUArPKRtJ94A6Dbt+7Q==" saltValue="uvLN3asCLz67gswtKKrNDQ==" spinCount="100000" sheet="1" formatRows="0" insertColumns="0" insertRows="0" insertHyperlinks="0" deleteColumns="0" deleteRows="0" selectLockedCells="1" sort="0" autoFilter="0" pivotTables="0" selectUnlockedCell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B22C0-D919-4329-A3D8-12DB5559D78E}">
  <sheetPr>
    <tabColor theme="2" tint="-0.499984740745262"/>
  </sheetPr>
  <dimension ref="A1:E36"/>
  <sheetViews>
    <sheetView zoomScale="90" zoomScaleNormal="90" workbookViewId="0">
      <selection activeCell="B41" sqref="B41"/>
    </sheetView>
  </sheetViews>
  <sheetFormatPr defaultColWidth="9.140625" defaultRowHeight="12.75" x14ac:dyDescent="0.2"/>
  <cols>
    <col min="1" max="1" width="34.5703125" style="167" bestFit="1" customWidth="1"/>
    <col min="2" max="2" width="16.42578125" style="167" bestFit="1" customWidth="1"/>
    <col min="3" max="3" width="74.5703125" style="167" customWidth="1"/>
    <col min="4" max="5" width="12.5703125" style="167" bestFit="1" customWidth="1"/>
    <col min="6" max="6" width="9.5703125" style="167" bestFit="1" customWidth="1"/>
    <col min="7" max="11" width="9.140625" style="167"/>
    <col min="12" max="12" width="9.5703125" style="167" bestFit="1" customWidth="1"/>
    <col min="13" max="16384" width="9.140625" style="167"/>
  </cols>
  <sheetData>
    <row r="1" spans="1:5" x14ac:dyDescent="0.2">
      <c r="A1" s="260" t="s">
        <v>255</v>
      </c>
      <c r="B1" s="260"/>
      <c r="C1" s="260"/>
    </row>
    <row r="2" spans="1:5" x14ac:dyDescent="0.2">
      <c r="A2" s="260" t="s">
        <v>381</v>
      </c>
      <c r="B2" s="260" t="s">
        <v>208</v>
      </c>
      <c r="C2" s="260" t="s">
        <v>207</v>
      </c>
    </row>
    <row r="3" spans="1:5" x14ac:dyDescent="0.2">
      <c r="A3" s="257" t="s">
        <v>254</v>
      </c>
      <c r="B3" s="267">
        <f>'Bandwidth Calculator'!C99</f>
        <v>3200</v>
      </c>
      <c r="C3" s="257" t="s">
        <v>227</v>
      </c>
    </row>
    <row r="4" spans="1:5" x14ac:dyDescent="0.2">
      <c r="A4" s="257" t="s">
        <v>252</v>
      </c>
      <c r="B4" s="267">
        <f>'Bandwidth Calculator'!C100</f>
        <v>10</v>
      </c>
      <c r="C4" s="266" t="s">
        <v>232</v>
      </c>
    </row>
    <row r="5" spans="1:5" x14ac:dyDescent="0.2">
      <c r="A5" s="257" t="s">
        <v>442</v>
      </c>
      <c r="B5" s="258">
        <f>B3*(B4/100)</f>
        <v>320</v>
      </c>
      <c r="C5" s="266"/>
    </row>
    <row r="6" spans="1:5" x14ac:dyDescent="0.2">
      <c r="A6" s="257" t="s">
        <v>441</v>
      </c>
      <c r="B6" s="258">
        <f>B3-B5</f>
        <v>2880</v>
      </c>
      <c r="C6" s="266"/>
    </row>
    <row r="7" spans="1:5" x14ac:dyDescent="0.2">
      <c r="A7" s="257" t="s">
        <v>250</v>
      </c>
      <c r="B7" s="267">
        <f>'Bandwidth Calculator'!C101</f>
        <v>20</v>
      </c>
      <c r="C7" s="266" t="s">
        <v>227</v>
      </c>
    </row>
    <row r="8" spans="1:5" x14ac:dyDescent="0.2">
      <c r="A8" s="257" t="s">
        <v>248</v>
      </c>
      <c r="B8" s="267">
        <f>'Bandwidth Calculator'!C102</f>
        <v>100</v>
      </c>
      <c r="C8" s="266" t="s">
        <v>247</v>
      </c>
    </row>
    <row r="9" spans="1:5" x14ac:dyDescent="0.2">
      <c r="A9" s="257"/>
      <c r="B9" s="263"/>
      <c r="C9" s="266"/>
    </row>
    <row r="11" spans="1:5" s="262" customFormat="1" x14ac:dyDescent="0.2">
      <c r="A11" s="260" t="s">
        <v>440</v>
      </c>
      <c r="B11" s="260" t="s">
        <v>208</v>
      </c>
      <c r="C11" s="260" t="s">
        <v>207</v>
      </c>
    </row>
    <row r="12" spans="1:5" s="262" customFormat="1" x14ac:dyDescent="0.2">
      <c r="A12" s="257" t="s">
        <v>386</v>
      </c>
      <c r="B12" s="263">
        <v>800</v>
      </c>
      <c r="C12" s="257" t="s">
        <v>329</v>
      </c>
    </row>
    <row r="13" spans="1:5" s="262" customFormat="1" x14ac:dyDescent="0.2">
      <c r="A13" s="257" t="s">
        <v>439</v>
      </c>
      <c r="B13" s="263">
        <v>40</v>
      </c>
      <c r="C13" s="257" t="s">
        <v>431</v>
      </c>
    </row>
    <row r="14" spans="1:5" s="262" customFormat="1" x14ac:dyDescent="0.2">
      <c r="A14" s="257" t="s">
        <v>250</v>
      </c>
      <c r="B14" s="263">
        <f>B7</f>
        <v>20</v>
      </c>
      <c r="C14" s="257"/>
    </row>
    <row r="15" spans="1:5" s="262" customFormat="1" x14ac:dyDescent="0.2">
      <c r="A15" s="257" t="s">
        <v>438</v>
      </c>
      <c r="B15" s="263">
        <v>5</v>
      </c>
      <c r="C15" s="257" t="s">
        <v>431</v>
      </c>
    </row>
    <row r="16" spans="1:5" s="262" customFormat="1" x14ac:dyDescent="0.2">
      <c r="A16" s="257" t="s">
        <v>437</v>
      </c>
      <c r="B16" s="258">
        <f>IF(((B8*2)/1024)&lt;4,4,((B8*2)/1024))</f>
        <v>4</v>
      </c>
      <c r="C16" s="257" t="s">
        <v>431</v>
      </c>
      <c r="E16" s="265"/>
    </row>
    <row r="17" spans="1:3" s="262" customFormat="1" x14ac:dyDescent="0.2">
      <c r="A17" s="257" t="s">
        <v>436</v>
      </c>
      <c r="B17" s="263">
        <f>B14*B16</f>
        <v>80</v>
      </c>
      <c r="C17" s="257" t="s">
        <v>431</v>
      </c>
    </row>
    <row r="18" spans="1:3" s="262" customFormat="1" x14ac:dyDescent="0.2">
      <c r="A18" s="257" t="s">
        <v>435</v>
      </c>
      <c r="B18" s="263">
        <f>B12+B17</f>
        <v>880</v>
      </c>
      <c r="C18" s="257" t="s">
        <v>431</v>
      </c>
    </row>
    <row r="19" spans="1:3" s="262" customFormat="1" x14ac:dyDescent="0.2">
      <c r="A19" s="257" t="s">
        <v>434</v>
      </c>
      <c r="B19" s="263">
        <v>10</v>
      </c>
      <c r="C19" s="257" t="s">
        <v>431</v>
      </c>
    </row>
    <row r="20" spans="1:3" s="262" customFormat="1" x14ac:dyDescent="0.2">
      <c r="A20" s="257" t="s">
        <v>433</v>
      </c>
      <c r="B20" s="263">
        <v>4</v>
      </c>
      <c r="C20" s="257" t="s">
        <v>431</v>
      </c>
    </row>
    <row r="21" spans="1:3" s="262" customFormat="1" x14ac:dyDescent="0.2">
      <c r="A21" s="185" t="s">
        <v>432</v>
      </c>
      <c r="B21" s="263">
        <v>100</v>
      </c>
      <c r="C21" s="185" t="s">
        <v>431</v>
      </c>
    </row>
    <row r="22" spans="1:3" s="262" customFormat="1" ht="25.5" x14ac:dyDescent="0.2">
      <c r="A22" s="264" t="s">
        <v>430</v>
      </c>
      <c r="B22" s="258">
        <f>B12+((B16+B20+B15)*B14)</f>
        <v>1060</v>
      </c>
      <c r="C22" s="185" t="s">
        <v>429</v>
      </c>
    </row>
    <row r="23" spans="1:3" s="262" customFormat="1" x14ac:dyDescent="0.2">
      <c r="A23" s="264" t="s">
        <v>428</v>
      </c>
      <c r="B23" s="258">
        <f>IF(B5&gt;=1,(B22+B18),0)</f>
        <v>1940</v>
      </c>
      <c r="C23" s="185" t="s">
        <v>427</v>
      </c>
    </row>
    <row r="24" spans="1:3" s="262" customFormat="1" ht="153" x14ac:dyDescent="0.2">
      <c r="A24" s="264" t="s">
        <v>426</v>
      </c>
      <c r="B24" s="258">
        <v>1020</v>
      </c>
      <c r="C24" s="185" t="s">
        <v>425</v>
      </c>
    </row>
    <row r="25" spans="1:3" s="262" customFormat="1" x14ac:dyDescent="0.2">
      <c r="A25" s="264" t="s">
        <v>424</v>
      </c>
      <c r="B25" s="263">
        <v>1900</v>
      </c>
      <c r="C25" s="185" t="s">
        <v>423</v>
      </c>
    </row>
    <row r="26" spans="1:3" s="262" customFormat="1" ht="204" x14ac:dyDescent="0.2">
      <c r="A26" s="264" t="s">
        <v>422</v>
      </c>
      <c r="B26" s="263">
        <v>130</v>
      </c>
      <c r="C26" s="185" t="s">
        <v>421</v>
      </c>
    </row>
    <row r="28" spans="1:3" ht="25.5" x14ac:dyDescent="0.2">
      <c r="A28" s="260" t="s">
        <v>420</v>
      </c>
      <c r="B28" s="260"/>
      <c r="C28" s="260"/>
    </row>
    <row r="29" spans="1:3" x14ac:dyDescent="0.2">
      <c r="A29" s="260"/>
      <c r="B29" s="260" t="s">
        <v>416</v>
      </c>
      <c r="C29" s="260" t="s">
        <v>207</v>
      </c>
    </row>
    <row r="30" spans="1:3" x14ac:dyDescent="0.2">
      <c r="A30" s="259" t="s">
        <v>419</v>
      </c>
      <c r="B30" s="258">
        <f>IF(B3&gt;=1,(B5*B23)+(B6*B22),0)</f>
        <v>3673600</v>
      </c>
      <c r="C30" s="257" t="s">
        <v>418</v>
      </c>
    </row>
    <row r="31" spans="1:3" x14ac:dyDescent="0.2">
      <c r="A31" s="257"/>
      <c r="B31" s="261">
        <f>(B30*8)/3600</f>
        <v>8163.5555555555557</v>
      </c>
      <c r="C31" s="257" t="s">
        <v>8</v>
      </c>
    </row>
    <row r="34" spans="1:3" ht="25.5" x14ac:dyDescent="0.2">
      <c r="A34" s="260" t="s">
        <v>417</v>
      </c>
      <c r="B34" s="260"/>
      <c r="C34" s="260"/>
    </row>
    <row r="35" spans="1:3" x14ac:dyDescent="0.2">
      <c r="A35" s="260"/>
      <c r="B35" s="260" t="s">
        <v>416</v>
      </c>
      <c r="C35" s="260" t="s">
        <v>207</v>
      </c>
    </row>
    <row r="36" spans="1:3" ht="38.25" x14ac:dyDescent="0.2">
      <c r="A36" s="259" t="s">
        <v>415</v>
      </c>
      <c r="B36" s="258">
        <f>B19+B13+((B16+B20+B15)*B14)+B21</f>
        <v>410</v>
      </c>
      <c r="C36" s="257" t="s">
        <v>414</v>
      </c>
    </row>
  </sheetData>
  <sheetProtection algorithmName="SHA-512" hashValue="lS/l4wFsSeB4L6JGZyOIE64TFUwqIuQvxYjV+Trp2wNSb9KQLrCIKZ41aJHTTVNaM8hw8VJTcl3o6IFzeTo7cQ==" saltValue="07zZ4bvwwKnw6oFeI/KYsA=="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2C1A2-D1AB-4551-9843-30F91E1C948F}">
  <sheetPr>
    <tabColor rgb="FFFFFF00"/>
  </sheetPr>
  <dimension ref="A1:C29"/>
  <sheetViews>
    <sheetView workbookViewId="0">
      <selection activeCell="B41" sqref="B41"/>
    </sheetView>
  </sheetViews>
  <sheetFormatPr defaultColWidth="9.140625" defaultRowHeight="12.75" x14ac:dyDescent="0.2"/>
  <cols>
    <col min="1" max="1" width="41.140625" style="167" customWidth="1"/>
    <col min="2" max="2" width="19.5703125" style="167" customWidth="1"/>
    <col min="3" max="3" width="94.85546875" style="167" customWidth="1"/>
    <col min="4" max="5" width="9.140625" style="167"/>
    <col min="6" max="6" width="9.5703125" style="167" bestFit="1" customWidth="1"/>
    <col min="7" max="11" width="9.140625" style="167"/>
    <col min="12" max="12" width="9.5703125" style="167" bestFit="1" customWidth="1"/>
    <col min="13" max="16384" width="9.140625" style="167"/>
  </cols>
  <sheetData>
    <row r="1" spans="1:3" x14ac:dyDescent="0.2">
      <c r="A1" s="260" t="s">
        <v>244</v>
      </c>
      <c r="B1" s="260"/>
      <c r="C1" s="260"/>
    </row>
    <row r="2" spans="1:3" x14ac:dyDescent="0.2">
      <c r="A2" s="260" t="s">
        <v>381</v>
      </c>
      <c r="B2" s="260" t="s">
        <v>208</v>
      </c>
      <c r="C2" s="260" t="s">
        <v>207</v>
      </c>
    </row>
    <row r="3" spans="1:3" x14ac:dyDescent="0.2">
      <c r="A3" s="257" t="s">
        <v>235</v>
      </c>
      <c r="B3" s="267">
        <f>'Bandwidth Calculator'!C106</f>
        <v>200</v>
      </c>
      <c r="C3" s="257" t="s">
        <v>227</v>
      </c>
    </row>
    <row r="4" spans="1:3" x14ac:dyDescent="0.2">
      <c r="A4" s="257" t="s">
        <v>460</v>
      </c>
      <c r="B4" s="267">
        <f>'Bandwidth Calculator'!BHCA/'Bandwidth Calculator'!Number_of_Agents</f>
        <v>20</v>
      </c>
      <c r="C4" s="266" t="s">
        <v>459</v>
      </c>
    </row>
    <row r="5" spans="1:3" x14ac:dyDescent="0.2">
      <c r="A5" s="257" t="s">
        <v>458</v>
      </c>
      <c r="B5" s="258">
        <f>B3*B4</f>
        <v>4000</v>
      </c>
      <c r="C5" s="266"/>
    </row>
    <row r="6" spans="1:3" x14ac:dyDescent="0.2">
      <c r="A6" s="257" t="s">
        <v>233</v>
      </c>
      <c r="B6" s="267">
        <f>'Bandwidth Calculator'!C107</f>
        <v>10</v>
      </c>
      <c r="C6" s="266" t="s">
        <v>232</v>
      </c>
    </row>
    <row r="7" spans="1:3" x14ac:dyDescent="0.2">
      <c r="A7" s="257" t="s">
        <v>457</v>
      </c>
      <c r="B7" s="258">
        <f>B5*(10/100)</f>
        <v>400</v>
      </c>
      <c r="C7" s="266" t="s">
        <v>456</v>
      </c>
    </row>
    <row r="8" spans="1:3" x14ac:dyDescent="0.2">
      <c r="A8" s="257" t="s">
        <v>455</v>
      </c>
      <c r="B8" s="258">
        <f>B5-B7</f>
        <v>3600</v>
      </c>
      <c r="C8" s="266" t="s">
        <v>454</v>
      </c>
    </row>
    <row r="9" spans="1:3" x14ac:dyDescent="0.2">
      <c r="A9" s="257" t="s">
        <v>241</v>
      </c>
      <c r="B9" s="267">
        <f>'Bandwidth Calculator'!C108</f>
        <v>200</v>
      </c>
      <c r="C9" s="266" t="s">
        <v>229</v>
      </c>
    </row>
    <row r="10" spans="1:3" x14ac:dyDescent="0.2">
      <c r="A10" s="257" t="s">
        <v>240</v>
      </c>
      <c r="B10" s="267">
        <f>'Bandwidth Calculator'!C109</f>
        <v>500</v>
      </c>
      <c r="C10" s="266" t="s">
        <v>229</v>
      </c>
    </row>
    <row r="11" spans="1:3" x14ac:dyDescent="0.2">
      <c r="A11" s="257" t="s">
        <v>239</v>
      </c>
      <c r="B11" s="267">
        <f>'Bandwidth Calculator'!C110</f>
        <v>2</v>
      </c>
      <c r="C11" s="266" t="s">
        <v>227</v>
      </c>
    </row>
    <row r="12" spans="1:3" x14ac:dyDescent="0.2">
      <c r="A12" s="257"/>
      <c r="B12" s="263"/>
      <c r="C12" s="266"/>
    </row>
    <row r="14" spans="1:3" s="262" customFormat="1" x14ac:dyDescent="0.2">
      <c r="A14" s="260" t="s">
        <v>453</v>
      </c>
      <c r="B14" s="260" t="s">
        <v>452</v>
      </c>
      <c r="C14" s="260" t="s">
        <v>207</v>
      </c>
    </row>
    <row r="15" spans="1:3" s="262" customFormat="1" x14ac:dyDescent="0.2">
      <c r="A15" s="257" t="s">
        <v>451</v>
      </c>
      <c r="B15" s="263">
        <f>2*300*8</f>
        <v>4800</v>
      </c>
      <c r="C15" s="257" t="s">
        <v>450</v>
      </c>
    </row>
    <row r="16" spans="1:3" s="262" customFormat="1" x14ac:dyDescent="0.2">
      <c r="A16" s="264" t="s">
        <v>449</v>
      </c>
      <c r="B16" s="258">
        <f>B11*(B9+B15)*8</f>
        <v>80000</v>
      </c>
      <c r="C16" s="185" t="s">
        <v>448</v>
      </c>
    </row>
    <row r="17" spans="1:3" s="262" customFormat="1" x14ac:dyDescent="0.2">
      <c r="A17" s="264" t="s">
        <v>447</v>
      </c>
      <c r="B17" s="258">
        <f>B11*(B10+B15)*8</f>
        <v>84800</v>
      </c>
      <c r="C17" s="185" t="s">
        <v>446</v>
      </c>
    </row>
    <row r="19" spans="1:3" x14ac:dyDescent="0.2">
      <c r="A19" s="260" t="s">
        <v>63</v>
      </c>
      <c r="B19" s="260"/>
      <c r="C19" s="260"/>
    </row>
    <row r="20" spans="1:3" x14ac:dyDescent="0.2">
      <c r="A20" s="260"/>
      <c r="B20" s="260" t="s">
        <v>208</v>
      </c>
      <c r="C20" s="260" t="s">
        <v>207</v>
      </c>
    </row>
    <row r="21" spans="1:3" x14ac:dyDescent="0.2">
      <c r="A21" s="269" t="s">
        <v>445</v>
      </c>
      <c r="B21" s="258">
        <f>B16*B8/1024</f>
        <v>281250</v>
      </c>
      <c r="C21" s="257" t="s">
        <v>443</v>
      </c>
    </row>
    <row r="22" spans="1:3" x14ac:dyDescent="0.2">
      <c r="A22" s="269" t="s">
        <v>444</v>
      </c>
      <c r="B22" s="258">
        <f>B17*B7/1024</f>
        <v>33125</v>
      </c>
      <c r="C22" s="257" t="s">
        <v>443</v>
      </c>
    </row>
    <row r="23" spans="1:3" x14ac:dyDescent="0.2">
      <c r="A23" s="269" t="s">
        <v>63</v>
      </c>
      <c r="B23" s="261">
        <f>(B21+B22)/3600</f>
        <v>87.326388888888886</v>
      </c>
      <c r="C23" s="257" t="s">
        <v>8</v>
      </c>
    </row>
    <row r="27" spans="1:3" x14ac:dyDescent="0.2">
      <c r="B27" s="268"/>
    </row>
    <row r="28" spans="1:3" x14ac:dyDescent="0.2">
      <c r="B28" s="268"/>
    </row>
    <row r="29" spans="1:3" x14ac:dyDescent="0.2">
      <c r="B29" s="268"/>
    </row>
  </sheetData>
  <sheetProtection algorithmName="SHA-512" hashValue="00W10uaxsu+t/n5Os62aHZ9bk3u+QouHJB2zpiAsGoILVjHcX8T6FCgErcRN8GRmHiIZXKWeoDMfJ5jBNZB/wA==" saltValue="rnnITmdfkn3u2a2p+sSFhg==" spinCount="100000" sheet="1"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8D19-696B-4518-AEFB-4A850DA1B2AF}">
  <sheetPr>
    <tabColor rgb="FFC00000"/>
  </sheetPr>
  <dimension ref="A1:C23"/>
  <sheetViews>
    <sheetView workbookViewId="0">
      <selection activeCell="B41" sqref="B41"/>
    </sheetView>
  </sheetViews>
  <sheetFormatPr defaultColWidth="9.140625" defaultRowHeight="12.75" x14ac:dyDescent="0.2"/>
  <cols>
    <col min="1" max="1" width="47" style="167" customWidth="1"/>
    <col min="2" max="2" width="16.42578125" style="167" bestFit="1" customWidth="1"/>
    <col min="3" max="3" width="94.85546875" style="167" customWidth="1"/>
    <col min="4" max="5" width="9.140625" style="167"/>
    <col min="6" max="6" width="9.5703125" style="167" bestFit="1" customWidth="1"/>
    <col min="7" max="11" width="9.140625" style="167"/>
    <col min="12" max="12" width="9.5703125" style="167" bestFit="1" customWidth="1"/>
    <col min="13" max="16384" width="9.140625" style="167"/>
  </cols>
  <sheetData>
    <row r="1" spans="1:3" x14ac:dyDescent="0.2">
      <c r="A1" s="242" t="s">
        <v>236</v>
      </c>
      <c r="B1" s="242"/>
      <c r="C1" s="242"/>
    </row>
    <row r="2" spans="1:3" x14ac:dyDescent="0.2">
      <c r="A2" s="242" t="s">
        <v>381</v>
      </c>
      <c r="B2" s="242" t="s">
        <v>208</v>
      </c>
      <c r="C2" s="242" t="s">
        <v>207</v>
      </c>
    </row>
    <row r="3" spans="1:3" x14ac:dyDescent="0.2">
      <c r="A3" s="185" t="s">
        <v>235</v>
      </c>
      <c r="B3" s="267">
        <f>'Bandwidth Calculator'!C114</f>
        <v>200</v>
      </c>
      <c r="C3" s="185" t="s">
        <v>227</v>
      </c>
    </row>
    <row r="4" spans="1:3" x14ac:dyDescent="0.2">
      <c r="A4" s="185" t="s">
        <v>460</v>
      </c>
      <c r="B4" s="267">
        <f>'Bandwidth Calculator'!BHCA/'Bandwidth Calculator'!Number_of_Agents</f>
        <v>20</v>
      </c>
      <c r="C4" s="185" t="s">
        <v>227</v>
      </c>
    </row>
    <row r="5" spans="1:3" x14ac:dyDescent="0.2">
      <c r="A5" s="185" t="s">
        <v>458</v>
      </c>
      <c r="B5" s="258">
        <f>B3*B4</f>
        <v>4000</v>
      </c>
      <c r="C5" s="185"/>
    </row>
    <row r="6" spans="1:3" x14ac:dyDescent="0.2">
      <c r="A6" s="257" t="s">
        <v>233</v>
      </c>
      <c r="B6" s="274">
        <f>'Bandwidth Calculator'!C115</f>
        <v>10</v>
      </c>
      <c r="C6" s="185" t="s">
        <v>232</v>
      </c>
    </row>
    <row r="7" spans="1:3" x14ac:dyDescent="0.2">
      <c r="A7" s="257" t="s">
        <v>457</v>
      </c>
      <c r="B7" s="273">
        <f>B5*(10/100)</f>
        <v>400</v>
      </c>
      <c r="C7" s="185" t="s">
        <v>456</v>
      </c>
    </row>
    <row r="8" spans="1:3" x14ac:dyDescent="0.2">
      <c r="A8" s="257" t="s">
        <v>455</v>
      </c>
      <c r="B8" s="273">
        <f>B5-B7</f>
        <v>3600</v>
      </c>
      <c r="C8" s="185" t="s">
        <v>454</v>
      </c>
    </row>
    <row r="9" spans="1:3" x14ac:dyDescent="0.2">
      <c r="A9" s="257" t="s">
        <v>231</v>
      </c>
      <c r="B9" s="274">
        <f>'Bandwidth Calculator'!C116</f>
        <v>128</v>
      </c>
      <c r="C9" s="185" t="s">
        <v>229</v>
      </c>
    </row>
    <row r="10" spans="1:3" x14ac:dyDescent="0.2">
      <c r="A10" s="257" t="s">
        <v>230</v>
      </c>
      <c r="B10" s="274">
        <f>'Bandwidth Calculator'!C117</f>
        <v>128</v>
      </c>
      <c r="C10" s="185" t="s">
        <v>229</v>
      </c>
    </row>
    <row r="11" spans="1:3" x14ac:dyDescent="0.2">
      <c r="A11" s="257" t="s">
        <v>228</v>
      </c>
      <c r="B11" s="274">
        <f>'Bandwidth Calculator'!C118</f>
        <v>2</v>
      </c>
      <c r="C11" s="185" t="s">
        <v>227</v>
      </c>
    </row>
    <row r="12" spans="1:3" x14ac:dyDescent="0.2">
      <c r="A12" s="257"/>
      <c r="B12" s="272"/>
      <c r="C12" s="185"/>
    </row>
    <row r="14" spans="1:3" s="262" customFormat="1" x14ac:dyDescent="0.2">
      <c r="A14" s="260" t="s">
        <v>470</v>
      </c>
      <c r="B14" s="260" t="s">
        <v>469</v>
      </c>
      <c r="C14" s="242" t="s">
        <v>207</v>
      </c>
    </row>
    <row r="15" spans="1:3" s="262" customFormat="1" x14ac:dyDescent="0.2">
      <c r="A15" s="257" t="s">
        <v>468</v>
      </c>
      <c r="B15" s="272">
        <f>2*512*8</f>
        <v>8192</v>
      </c>
      <c r="C15" s="185" t="s">
        <v>467</v>
      </c>
    </row>
    <row r="16" spans="1:3" s="262" customFormat="1" x14ac:dyDescent="0.2">
      <c r="A16" s="264" t="s">
        <v>466</v>
      </c>
      <c r="B16" s="273">
        <f>B11*((B9+B15))*8</f>
        <v>133120</v>
      </c>
      <c r="C16" s="185" t="s">
        <v>465</v>
      </c>
    </row>
    <row r="17" spans="1:3" s="262" customFormat="1" x14ac:dyDescent="0.2">
      <c r="A17" s="264" t="s">
        <v>464</v>
      </c>
      <c r="B17" s="273">
        <f>B11*((B10+B15))*8</f>
        <v>133120</v>
      </c>
      <c r="C17" s="185" t="s">
        <v>463</v>
      </c>
    </row>
    <row r="19" spans="1:3" x14ac:dyDescent="0.2">
      <c r="A19" s="260" t="s">
        <v>63</v>
      </c>
      <c r="B19" s="260"/>
      <c r="C19" s="242"/>
    </row>
    <row r="20" spans="1:3" x14ac:dyDescent="0.2">
      <c r="A20" s="260"/>
      <c r="B20" s="260" t="s">
        <v>208</v>
      </c>
      <c r="C20" s="242" t="s">
        <v>207</v>
      </c>
    </row>
    <row r="21" spans="1:3" x14ac:dyDescent="0.2">
      <c r="A21" s="269" t="s">
        <v>462</v>
      </c>
      <c r="B21" s="272">
        <f>B16*B8/1024</f>
        <v>468000</v>
      </c>
      <c r="C21" s="185" t="s">
        <v>443</v>
      </c>
    </row>
    <row r="22" spans="1:3" x14ac:dyDescent="0.2">
      <c r="A22" s="269" t="s">
        <v>461</v>
      </c>
      <c r="B22" s="271">
        <f>B17*B7/1024</f>
        <v>52000</v>
      </c>
      <c r="C22" s="185" t="s">
        <v>443</v>
      </c>
    </row>
    <row r="23" spans="1:3" x14ac:dyDescent="0.2">
      <c r="A23" s="269" t="s">
        <v>63</v>
      </c>
      <c r="B23" s="270">
        <f>(B22+B21)/3600</f>
        <v>144.44444444444446</v>
      </c>
      <c r="C23" s="185" t="s">
        <v>8</v>
      </c>
    </row>
  </sheetData>
  <sheetProtection algorithmName="SHA-512" hashValue="tIZaTXTyeGVDct7O9x+8qKnkDIuW/LDWjjTnd73xqZ5C7HXL1Zm11ksTiyI5wfHCYDd4H4arLTHYwRPbCRRqYQ==" saltValue="F+SGiXLHyYePmd9nvP1how=="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120</vt:i4>
      </vt:variant>
    </vt:vector>
  </HeadingPairs>
  <TitlesOfParts>
    <vt:vector size="131" baseType="lpstr">
      <vt:lpstr>Instructions</vt:lpstr>
      <vt:lpstr>Bandwidth Calculator</vt:lpstr>
      <vt:lpstr>Finesse BW</vt:lpstr>
      <vt:lpstr>Finesse BW Data</vt:lpstr>
      <vt:lpstr>Finesse LD Report BW Data</vt:lpstr>
      <vt:lpstr>Email BW Data</vt:lpstr>
      <vt:lpstr>Chat BW Data</vt:lpstr>
      <vt:lpstr>EDBS BW Data</vt:lpstr>
      <vt:lpstr>REST APIs BW Data</vt:lpstr>
      <vt:lpstr>Fippa BW Data</vt:lpstr>
      <vt:lpstr>CUIC Reporting BW Data</vt:lpstr>
      <vt:lpstr>'Bandwidth Calculator'!Agent_Call_Wrap_Up_Time</vt:lpstr>
      <vt:lpstr>'Finesse BW'!Agent_Call_Wrap_Up_Time</vt:lpstr>
      <vt:lpstr>'Bandwidth Calculator'!Agent_Call_Wrap_Up_Time_v901</vt:lpstr>
      <vt:lpstr>'Finesse BW'!Agent_Call_Wrap_Up_Time_v901</vt:lpstr>
      <vt:lpstr>'Bandwidth Calculator'!Agent_Statistics_Update_Interval_v801</vt:lpstr>
      <vt:lpstr>'Finesse BW'!Agent_Statistics_Update_Interval_v801</vt:lpstr>
      <vt:lpstr>'Finesse BW'!Average_Call_Duration</vt:lpstr>
      <vt:lpstr>'Finesse BW'!Average_Call_Duration_v901</vt:lpstr>
      <vt:lpstr>'Bandwidth Calculator'!Average_number_of_agents_per_Team</vt:lpstr>
      <vt:lpstr>'Finesse BW'!Average_number_of_agents_per_Team</vt:lpstr>
      <vt:lpstr>'Bandwidth Calculator'!Average_number_of_agents_per_team_v901</vt:lpstr>
      <vt:lpstr>'Finesse BW'!Average_number_of_agents_per_team_v901</vt:lpstr>
      <vt:lpstr>'Bandwidth Calculator'!Average_number_of_Skill_Groups_per_Agent_v901</vt:lpstr>
      <vt:lpstr>'Finesse BW'!Average_number_of_Skill_Groups_per_Agent_v901</vt:lpstr>
      <vt:lpstr>'Bandwidth Calculator'!Average_number_of_Skill_Groups_per_Supervisor</vt:lpstr>
      <vt:lpstr>'Finesse BW'!Average_number_of_Skill_Groups_per_Supervisor</vt:lpstr>
      <vt:lpstr>'Finesse BW'!Avg_Agent_State_Changes_Per_Call_NoWrap</vt:lpstr>
      <vt:lpstr>'Finesse BW Data'!Avg_Agent_State_Changes_Per_Call_NoWrap</vt:lpstr>
      <vt:lpstr>'Finesse BW Data'!Avg_Agent_State_Changes_Per_Call_NoWrap_v91</vt:lpstr>
      <vt:lpstr>'Finesse BW'!Avg_Agent_State_Changes_Per_Call_Wrap</vt:lpstr>
      <vt:lpstr>'Finesse BW Data'!Avg_Agent_State_Changes_Per_Call_Wrap</vt:lpstr>
      <vt:lpstr>'Finesse BW Data'!Avg_Agent_State_Changes_Per_Call_Wrap_v91</vt:lpstr>
      <vt:lpstr>'Finesse BW'!Avg_Number_Dialog_Events_Per_ConfCall</vt:lpstr>
      <vt:lpstr>'Finesse BW Data'!Avg_Number_Dialog_Events_Per_ConfCall</vt:lpstr>
      <vt:lpstr>'Finesse BW'!Avg_Number_Dialog_Events_Per_IncomingCall</vt:lpstr>
      <vt:lpstr>'Finesse BW Data'!Avg_Number_Dialog_Events_Per_IncomingCall</vt:lpstr>
      <vt:lpstr>'Finesse BW'!Avg_Number_Dialog_Events_Per_OutCall</vt:lpstr>
      <vt:lpstr>'Finesse BW Data'!Avg_Number_Dialog_Events_Per_OutCall</vt:lpstr>
      <vt:lpstr>'Finesse BW'!Avg_Number_Dialog_Events_Per_XferCall</vt:lpstr>
      <vt:lpstr>'Finesse BW Data'!Avg_Number_Dialog_Events_Per_XferCall</vt:lpstr>
      <vt:lpstr>'Finesse BW'!Bandwidth_Confidence_Factor_v9</vt:lpstr>
      <vt:lpstr>'Finesse BW Data'!Bandwidth_Confidence_Factor_v9</vt:lpstr>
      <vt:lpstr>'Finesse BW Data'!Bandwidth_Confidence_Factor_v91</vt:lpstr>
      <vt:lpstr>'Bandwidth Calculator'!BHCA</vt:lpstr>
      <vt:lpstr>'Finesse BW'!BHCA</vt:lpstr>
      <vt:lpstr>'Bandwidth Calculator'!BHCA_v901</vt:lpstr>
      <vt:lpstr>'Finesse BW'!BHCA_v901</vt:lpstr>
      <vt:lpstr>'Finesse BW Data'!Bytes_Per_Call_Variable_Value</vt:lpstr>
      <vt:lpstr>'Finesse BW'!Calls_Per_Second</vt:lpstr>
      <vt:lpstr>'Finesse BW'!Calls_Per_Second_v901</vt:lpstr>
      <vt:lpstr>'Bandwidth Calculator'!Max_Login_Time_All_Agents</vt:lpstr>
      <vt:lpstr>'Finesse BW'!Max_Login_Time_All_Agents</vt:lpstr>
      <vt:lpstr>'Bandwidth Calculator'!Max_Login_Time_All_Users</vt:lpstr>
      <vt:lpstr>'Finesse BW'!Max_Login_Time_All_Users</vt:lpstr>
      <vt:lpstr>'Bandwidth Calculator'!Maximum_Login_Time_for_all_users</vt:lpstr>
      <vt:lpstr>'Finesse BW'!Maximum_Login_Time_for_all_users</vt:lpstr>
      <vt:lpstr>'Bandwidth Calculator'!Number_of_Agent_Statistics_v801</vt:lpstr>
      <vt:lpstr>'Finesse BW'!Number_of_Agent_Statistics_v801</vt:lpstr>
      <vt:lpstr>'Bandwidth Calculator'!Number_of_Agents</vt:lpstr>
      <vt:lpstr>'Finesse BW'!Number_of_Agents</vt:lpstr>
      <vt:lpstr>'Bandwidth Calculator'!Number_of_All_Agents_Monitors_v801</vt:lpstr>
      <vt:lpstr>'Finesse BW'!Number_of_All_Agents_Monitors_v801</vt:lpstr>
      <vt:lpstr>'Finesse BW Data'!Number_of_Call_Variables</vt:lpstr>
      <vt:lpstr>'Finesse BW Data'!Number_of_Call_Variables_v91</vt:lpstr>
      <vt:lpstr>'Bandwidth Calculator'!Number_of_Configured_Call_variables</vt:lpstr>
      <vt:lpstr>'Finesse BW'!Number_of_Configured_Call_variables</vt:lpstr>
      <vt:lpstr>'Bandwidth Calculator'!Number_of_Configured_ECC_variables</vt:lpstr>
      <vt:lpstr>'Finesse BW'!Number_of_Configured_ECC_variables</vt:lpstr>
      <vt:lpstr>'Bandwidth Calculator'!Number_of_Configured_ECC_variables_v901</vt:lpstr>
      <vt:lpstr>'Finesse BW'!Number_of_Configured_ECC_variables_v901</vt:lpstr>
      <vt:lpstr>'Bandwidth Calculator'!Number_of_Skill_Group_Statistics_v801</vt:lpstr>
      <vt:lpstr>'Finesse BW'!Number_of_Skill_Group_Statistics_v801</vt:lpstr>
      <vt:lpstr>'Bandwidth Calculator'!Number_of_Skill_Groups_per_Agent_v801</vt:lpstr>
      <vt:lpstr>'Finesse BW'!Number_of_Skill_Groups_per_Agent_v801</vt:lpstr>
      <vt:lpstr>'Bandwidth Calculator'!Number_of_Skill_Groups_per_Supervisor_v901</vt:lpstr>
      <vt:lpstr>'Finesse BW'!Number_of_Skill_Groups_per_Supervisor_v901</vt:lpstr>
      <vt:lpstr>'Bandwidth Calculator'!Number_of_Skill_Groups_PG</vt:lpstr>
      <vt:lpstr>'Finesse BW'!Number_of_Skill_Groups_PG</vt:lpstr>
      <vt:lpstr>'Bandwidth Calculator'!Number_of_Supervisors</vt:lpstr>
      <vt:lpstr>'Finesse BW'!Number_of_Supervisors</vt:lpstr>
      <vt:lpstr>'Bandwidth Calculator'!Number_of_Supervisors_v10</vt:lpstr>
      <vt:lpstr>'Finesse BW'!Number_of_Supervisors_v10</vt:lpstr>
      <vt:lpstr>'Bandwidth Calculator'!Number_of_Supervisors_v901</vt:lpstr>
      <vt:lpstr>'Finesse BW'!Number_of_Supervisors_v901</vt:lpstr>
      <vt:lpstr>'Bandwidth Calculator'!Percentage_Calls_Silently_Monitored</vt:lpstr>
      <vt:lpstr>'Finesse BW'!Percentage_Calls_Silently_Monitored</vt:lpstr>
      <vt:lpstr>'Bandwidth Calculator'!Percentage_of_BargedCalls</vt:lpstr>
      <vt:lpstr>'Finesse BW'!Percentage_of_BargedCalls</vt:lpstr>
      <vt:lpstr>'Bandwidth Calculator'!Percentage_of_Calls_that_are_silently_monitored</vt:lpstr>
      <vt:lpstr>'Finesse BW'!Percentage_of_Calls_that_are_silently_monitored</vt:lpstr>
      <vt:lpstr>'Bandwidth Calculator'!Percentage_of_Consultative_Conference_Calls</vt:lpstr>
      <vt:lpstr>'Finesse BW'!Percentage_of_Consultative_Conference_Calls</vt:lpstr>
      <vt:lpstr>'Bandwidth Calculator'!Percentage_of_Consultative_Conference_Calls_v901</vt:lpstr>
      <vt:lpstr>'Finesse BW'!Percentage_of_Consultative_Conference_Calls_v901</vt:lpstr>
      <vt:lpstr>'Bandwidth Calculator'!Percentage_of_Consultative_Transfer_Calls</vt:lpstr>
      <vt:lpstr>'Finesse BW'!Percentage_of_Consultative_Transfer_Calls</vt:lpstr>
      <vt:lpstr>'Bandwidth Calculator'!Percentage_of_Consultative_Transfer_Calls_v901</vt:lpstr>
      <vt:lpstr>'Finesse BW'!Percentage_of_Consultative_Transfer_Calls_v901</vt:lpstr>
      <vt:lpstr>'Bandwidth Calculator'!Percentage_of_Incoming_Straight_Calls</vt:lpstr>
      <vt:lpstr>'Finesse BW'!Percentage_of_Incoming_Straight_Calls</vt:lpstr>
      <vt:lpstr>'Bandwidth Calculator'!Percentage_of_Incoming_Straight_Calls_v901</vt:lpstr>
      <vt:lpstr>'Finesse BW'!Percentage_of_Incoming_Straight_Calls_v901</vt:lpstr>
      <vt:lpstr>'Bandwidth Calculator'!Percentage_of_InterceptedCalls</vt:lpstr>
      <vt:lpstr>'Finesse BW'!Percentage_of_InterceptedCalls</vt:lpstr>
      <vt:lpstr>'Bandwidth Calculator'!Percentage_of_Outgoing_Straight_Calls</vt:lpstr>
      <vt:lpstr>'Finesse BW'!Percentage_of_Outgoing_Straight_Calls</vt:lpstr>
      <vt:lpstr>'Bandwidth Calculator'!Percentage_of_Outgoing_Straight_Calls_v901</vt:lpstr>
      <vt:lpstr>'Finesse BW'!Percentage_of_Outgoing_Straight_Calls_v901</vt:lpstr>
      <vt:lpstr>'Bandwidth Calculator'!Percentage_of_Single_Step_Transfer_Calls_v801</vt:lpstr>
      <vt:lpstr>'Finesse BW'!Percentage_of_Single_Step_Transfer_Calls_v801</vt:lpstr>
      <vt:lpstr>'Bandwidth Calculator'!Percentage_of_SingleStep_Transfer_Calls</vt:lpstr>
      <vt:lpstr>'Finesse BW'!Percentage_of_SingleStep_Transfer_Calls</vt:lpstr>
      <vt:lpstr>'Finesse BW'!Skill_Group_Refresh_Rate</vt:lpstr>
      <vt:lpstr>'Finesse BW Data'!Skill_Group_Refresh_Rate</vt:lpstr>
      <vt:lpstr>'Finesse BW Data'!Skill_Group_Refresh_Rate_v91</vt:lpstr>
      <vt:lpstr>'Bandwidth Calculator'!Skill_Group_Update_Interval_v801</vt:lpstr>
      <vt:lpstr>'Finesse BW'!Skill_Group_Update_Interval_v801</vt:lpstr>
      <vt:lpstr>'Bandwidth Calculator'!Sum_of_all_Call_Variable_Values</vt:lpstr>
      <vt:lpstr>'Finesse BW'!Sum_of_all_Call_Variable_Values</vt:lpstr>
      <vt:lpstr>'Bandwidth Calculator'!Sum_of_all_Call_Variable_Values_v901</vt:lpstr>
      <vt:lpstr>'Finesse BW'!Sum_of_all_Call_Variable_Values_v901</vt:lpstr>
      <vt:lpstr>'Bandwidth Calculator'!Sum_of_all_ECC_Variable_Names</vt:lpstr>
      <vt:lpstr>'Finesse BW'!Sum_of_all_ECC_Variable_Names</vt:lpstr>
      <vt:lpstr>'Bandwidth Calculator'!Sum_of_all_ECC_Variable_Names_v901</vt:lpstr>
      <vt:lpstr>'Finesse BW'!Sum_of_all_ECC_Variable_Names_v901</vt:lpstr>
      <vt:lpstr>'Bandwidth Calculator'!Sum_of_all_ECC_Variable_Values</vt:lpstr>
      <vt:lpstr>'Finesse BW'!Sum_of_all_ECC_Variable_Values</vt:lpstr>
      <vt:lpstr>'Bandwidth Calculator'!Sum_of_all_ECC_Variable_Values_v901</vt:lpstr>
      <vt:lpstr>'Finesse BW'!Sum_of_all_ECC_Variable_Values_v901</vt:lpstr>
      <vt:lpstr>'Finesse BW'!Total</vt:lpstr>
    </vt:vector>
  </TitlesOfParts>
  <Company>Cisco Systems,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Aravind Hampiholi Govind Rao (ahampiho)</cp:lastModifiedBy>
  <cp:lastPrinted>2005-06-13T18:47:50Z</cp:lastPrinted>
  <dcterms:created xsi:type="dcterms:W3CDTF">2005-06-07T14:17:23Z</dcterms:created>
  <dcterms:modified xsi:type="dcterms:W3CDTF">2020-03-05T06:24:20Z</dcterms:modified>
</cp:coreProperties>
</file>