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19320" windowHeight="9870" activeTab="0"/>
  </bookViews>
  <sheets>
    <sheet name="MP 8.0 SMS Capacity Planning" sheetId="1" r:id="rId1"/>
    <sheet name="Configuration too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<sst xmlns="http://schemas.openxmlformats.org/spreadsheetml/2006/main" count="167" uniqueCount="121">
  <si>
    <t>System Resource Units</t>
  </si>
  <si>
    <t>Configuration Page</t>
  </si>
  <si>
    <t>Resource Units Ratio</t>
  </si>
  <si>
    <t>Description</t>
  </si>
  <si>
    <t>Allocated</t>
  </si>
  <si>
    <t>System Resource Pool</t>
  </si>
  <si>
    <t>Audio</t>
  </si>
  <si>
    <t>Video</t>
  </si>
  <si>
    <t xml:space="preserve">   Total System Resource Units (System Capacity)</t>
  </si>
  <si>
    <t>Licenses (maximum allow @ 80% CPU)</t>
  </si>
  <si>
    <t xml:space="preserve">   # audio licenses</t>
  </si>
  <si>
    <t>Audio Options</t>
  </si>
  <si>
    <t xml:space="preserve">   # Audio floater ports</t>
  </si>
  <si>
    <t xml:space="preserve">   # Audio overbooked ports</t>
  </si>
  <si>
    <t>Video Options</t>
  </si>
  <si>
    <t>Current Resource Allocation Status</t>
  </si>
  <si>
    <t>webpage</t>
  </si>
  <si>
    <t>Comments</t>
  </si>
  <si>
    <t>video_params.h</t>
  </si>
  <si>
    <t xml:space="preserve">   1 704Kbps Video Port</t>
  </si>
  <si>
    <t>MCS-7835</t>
  </si>
  <si>
    <t>MCS-7845</t>
  </si>
  <si>
    <t xml:space="preserve">   1 G.711 port</t>
  </si>
  <si>
    <t xml:space="preserve">   1 320kbps Video Port</t>
  </si>
  <si>
    <t>#Reject</t>
  </si>
  <si>
    <t>Available</t>
  </si>
  <si>
    <t xml:space="preserve">   # Scheduled G.729 ports</t>
  </si>
  <si>
    <t xml:space="preserve">   # Ad-Hoc Video Enabled</t>
  </si>
  <si>
    <t xml:space="preserve">   # Ad-hoc 704 kbps Video enabled</t>
  </si>
  <si>
    <t xml:space="preserve">   Scheduled G.711 Ports</t>
  </si>
  <si>
    <t xml:space="preserve">   Ad-hoc  G.711 Ports</t>
  </si>
  <si>
    <t xml:space="preserve">   Scheduled 320Kbps</t>
  </si>
  <si>
    <t xml:space="preserve">   Ad-Hoc 320 kpbs</t>
  </si>
  <si>
    <t xml:space="preserve">   # Schedulable Audio Ports</t>
  </si>
  <si>
    <t xml:space="preserve">   # Ad-Hoc Audio Ports Configured</t>
  </si>
  <si>
    <t xml:space="preserve">   Remaining Available System Resources (for G.729 and HBw video)</t>
  </si>
  <si>
    <t xml:space="preserve">   # Standard 704 kbps Video ports available on FCFS </t>
  </si>
  <si>
    <t xml:space="preserve">   # Actual available scheduled G.729 ports (FCFS)</t>
  </si>
  <si>
    <t xml:space="preserve">   1  HD Video Port</t>
  </si>
  <si>
    <t xml:space="preserve">   # Audio Licensed Ports</t>
  </si>
  <si>
    <t xml:space="preserve">   # Audio Available ports</t>
  </si>
  <si>
    <t xml:space="preserve">   # No of Audio ports available for Scheduled conferences</t>
  </si>
  <si>
    <t>Display the extra SRUs needed for the requested G.729 ports</t>
  </si>
  <si>
    <t xml:space="preserve">   Total System Resource Units required for G.711 and 320kbps Video ports only</t>
  </si>
  <si>
    <t xml:space="preserve">   # Video Licensed ports</t>
  </si>
  <si>
    <t xml:space="preserve">  # Actual Ad-hoc Audio ports allowed based on Audio &amp; Video licenses</t>
  </si>
  <si>
    <t xml:space="preserve">   # Video Available Ports</t>
  </si>
  <si>
    <t xml:space="preserve">   #  video licenses</t>
  </si>
  <si>
    <t>YES</t>
  </si>
  <si>
    <t xml:space="preserve">   # Ad-Hoc 1.2 mbps HD video ports available on FCFS</t>
  </si>
  <si>
    <t xml:space="preserve">   # No of standard/scheduled Video Ports available</t>
  </si>
  <si>
    <t xml:space="preserve">   # Ad-hoc 1.2 mbps HD video enabled</t>
  </si>
  <si>
    <t xml:space="preserve">   # Ad-Hoc Video Ports available</t>
  </si>
  <si>
    <t xml:space="preserve">   # Ad-hoc 704 kbps Video ports available on FCFS </t>
  </si>
  <si>
    <t xml:space="preserve">   1 G729/G722 Port</t>
  </si>
  <si>
    <t xml:space="preserve">   # Ad-hoc G.729/G.722 enabled</t>
  </si>
  <si>
    <t xml:space="preserve">   # Ad-Hoc G.729/G.722 Audio Ports available based on SRUs</t>
  </si>
  <si>
    <t xml:space="preserve">   # Excess SRUs available for High BW Video and G729/G722</t>
  </si>
  <si>
    <t xml:space="preserve">   No. of Ad-hoc  G.729/G.722 Ports (out of above G.711 ports) guranteed if available SRUs</t>
  </si>
  <si>
    <t xml:space="preserve">Platform Specific Recommended Capacity </t>
  </si>
  <si>
    <t>Criteria</t>
  </si>
  <si>
    <t>Total</t>
  </si>
  <si>
    <t>7835-I2</t>
  </si>
  <si>
    <t>7845-I2</t>
  </si>
  <si>
    <t>Quad Core</t>
  </si>
  <si>
    <t>SRU/Call</t>
  </si>
  <si>
    <t>Total SRU</t>
  </si>
  <si>
    <t>N/A</t>
  </si>
  <si>
    <t>G711 Audio Only</t>
  </si>
  <si>
    <t>G711 Audio + 384 kbps Video</t>
  </si>
  <si>
    <t>G711 Audio + 768 kbps Video</t>
  </si>
  <si>
    <t>G711 Audio + 1200 kbps Video</t>
  </si>
  <si>
    <t>G711 Audio + 1500 kbps Video</t>
  </si>
  <si>
    <t>G711 Audio + 2000 kbps Video</t>
  </si>
  <si>
    <t>G722/729 Audio Only</t>
  </si>
  <si>
    <t>G722/G729 Audio + 320 kbps Video</t>
  </si>
  <si>
    <t>G722/G729 Audio + 768 kbps Video</t>
  </si>
  <si>
    <t>G722/G729 Audio + 1200 kbps Video</t>
  </si>
  <si>
    <t>G722/G729 Audio + 1500 kbps Video</t>
  </si>
  <si>
    <t>G722/G729 Audio + 2000 kbps Video</t>
  </si>
  <si>
    <t>Video BitRate</t>
  </si>
  <si>
    <t>Audio/Video</t>
  </si>
  <si>
    <t>G711 to</t>
  </si>
  <si>
    <t xml:space="preserve">Audio </t>
  </si>
  <si>
    <t>G722</t>
  </si>
  <si>
    <t>768 kbps Video</t>
  </si>
  <si>
    <t>1500 kbps Video</t>
  </si>
  <si>
    <t>Following for High Complexity codecs</t>
  </si>
  <si>
    <t>Following Table to Create different mixes.</t>
  </si>
  <si>
    <t>Quad</t>
  </si>
  <si>
    <t>Core</t>
  </si>
  <si>
    <t>Ratio %</t>
  </si>
  <si>
    <t>G722 ratio %</t>
  </si>
  <si>
    <t>Max Calls *</t>
  </si>
  <si>
    <t>* Max Calls is the max number of calls that can be supported with configured mix.</t>
  </si>
  <si>
    <t>Configure appropriate mix Ratios for the Video (Yellow) or High Complexity Audio (Pink) boxes.</t>
  </si>
  <si>
    <t>G722 represents High Complexity audio so G722 == G722 or G729</t>
  </si>
  <si>
    <t>HD</t>
  </si>
  <si>
    <t>2000 kbps Video HD</t>
  </si>
  <si>
    <t>High Quality</t>
  </si>
  <si>
    <t>Compatibility</t>
  </si>
  <si>
    <t>Comptibility</t>
  </si>
  <si>
    <t>Can I do this?</t>
  </si>
  <si>
    <t>Max Call</t>
  </si>
  <si>
    <t>G.722/G729</t>
  </si>
  <si>
    <t>SRUs you need</t>
  </si>
  <si>
    <t>Answer :</t>
  </si>
  <si>
    <t xml:space="preserve">Total </t>
  </si>
  <si>
    <t>Reserved</t>
  </si>
  <si>
    <t>320 kbps Video Compatibility</t>
  </si>
  <si>
    <t>Resource calculations for Software Media Server</t>
  </si>
  <si>
    <t>Total System Resource Units (SRUs)</t>
  </si>
  <si>
    <t>Number of SRUs</t>
  </si>
  <si>
    <t>Use the formula in green to decide whether to allow users to enable G.729 or not. Display error</t>
  </si>
  <si>
    <t xml:space="preserve">   Scheduled G.729 Ports FCFS (not guaranteed)</t>
  </si>
  <si>
    <t xml:space="preserve">   No. of Scheduled 704Kbps (out of above 320 kbps ports) FCFS (not guaranteed)</t>
  </si>
  <si>
    <t xml:space="preserve">   No of Ad-Hoc 704 kbps (out of above 320 kbps ports) FCFS (not guaranteed)</t>
  </si>
  <si>
    <t xml:space="preserve">   No of Ad-Hoc 1.2 mbps (out of above 320 kbps ports) FCFS (not guaranteed)</t>
  </si>
  <si>
    <t>Estimate your numbers</t>
  </si>
  <si>
    <t>1200 kbps Video High Quality</t>
  </si>
  <si>
    <t xml:space="preserve">1200 kbps Video High Quality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</si>
</sst>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[$-409]h:mm:ss\ AM/PM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i/>
      <sz val="9"/>
      <name val="Arial"/>
      <family val="0"/>
    </font>
    <font>
      <i/>
      <sz val="10"/>
      <name val="Arial"/>
      <family val="0"/>
    </font>
    <font>
      <b/>
      <sz val="11"/>
      <name val="Calibri"/>
      <family val="2"/>
    </font>
    <font>
      <sz val="14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20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3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0" fillId="34" borderId="22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1" fillId="37" borderId="23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7" borderId="24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9" fontId="1" fillId="34" borderId="24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0" fillId="37" borderId="22" xfId="0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1" fillId="37" borderId="25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1" fillId="37" borderId="24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1" fillId="0" borderId="19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12" fillId="37" borderId="12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1" fillId="37" borderId="15" xfId="0" applyFont="1" applyFill="1" applyBorder="1" applyAlignment="1">
      <alignment vertical="top" wrapText="1"/>
    </xf>
    <xf numFmtId="0" fontId="11" fillId="37" borderId="27" xfId="0" applyFont="1" applyFill="1" applyBorder="1" applyAlignment="1">
      <alignment horizontal="center" vertical="top" wrapText="1"/>
    </xf>
    <xf numFmtId="0" fontId="11" fillId="37" borderId="28" xfId="0" applyFont="1" applyFill="1" applyBorder="1" applyAlignment="1">
      <alignment horizontal="center" vertical="top" wrapText="1"/>
    </xf>
    <xf numFmtId="0" fontId="11" fillId="37" borderId="25" xfId="0" applyFont="1" applyFill="1" applyBorder="1" applyAlignment="1">
      <alignment vertical="top" wrapText="1"/>
    </xf>
    <xf numFmtId="0" fontId="11" fillId="37" borderId="23" xfId="0" applyFont="1" applyFill="1" applyBorder="1" applyAlignment="1">
      <alignment vertical="top" wrapText="1"/>
    </xf>
    <xf numFmtId="0" fontId="11" fillId="37" borderId="29" xfId="0" applyFont="1" applyFill="1" applyBorder="1" applyAlignment="1">
      <alignment vertical="top" wrapText="1"/>
    </xf>
    <xf numFmtId="0" fontId="11" fillId="37" borderId="30" xfId="0" applyFont="1" applyFill="1" applyBorder="1" applyAlignment="1">
      <alignment vertical="top" wrapText="1"/>
    </xf>
    <xf numFmtId="0" fontId="14" fillId="37" borderId="2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5">
      <selection activeCell="K24" sqref="K24"/>
    </sheetView>
  </sheetViews>
  <sheetFormatPr defaultColWidth="9.140625" defaultRowHeight="12.75"/>
  <cols>
    <col min="1" max="1" width="42.00390625" style="0" customWidth="1"/>
    <col min="2" max="2" width="12.140625" style="0" customWidth="1"/>
    <col min="3" max="3" width="14.28125" style="0" customWidth="1"/>
    <col min="7" max="7" width="9.7109375" style="0" customWidth="1"/>
    <col min="8" max="8" width="0.2890625" style="0" customWidth="1"/>
  </cols>
  <sheetData>
    <row r="1" spans="1:3" ht="20.25">
      <c r="A1" s="89" t="s">
        <v>59</v>
      </c>
      <c r="C1" s="88"/>
    </row>
    <row r="2" ht="13.5" thickBot="1"/>
    <row r="3" spans="1:7" ht="15">
      <c r="A3" s="106" t="s">
        <v>60</v>
      </c>
      <c r="B3" s="82" t="s">
        <v>6</v>
      </c>
      <c r="C3" s="82" t="s">
        <v>7</v>
      </c>
      <c r="D3" s="82" t="s">
        <v>61</v>
      </c>
      <c r="E3" s="108" t="s">
        <v>62</v>
      </c>
      <c r="F3" s="108" t="s">
        <v>63</v>
      </c>
      <c r="G3" s="110" t="s">
        <v>64</v>
      </c>
    </row>
    <row r="4" spans="1:7" ht="15.75" thickBot="1">
      <c r="A4" s="107"/>
      <c r="B4" s="58" t="s">
        <v>65</v>
      </c>
      <c r="C4" s="58" t="s">
        <v>65</v>
      </c>
      <c r="D4" s="58" t="s">
        <v>65</v>
      </c>
      <c r="E4" s="109"/>
      <c r="F4" s="109"/>
      <c r="G4" s="111"/>
    </row>
    <row r="5" spans="1:7" ht="12.75">
      <c r="A5" s="11" t="s">
        <v>66</v>
      </c>
      <c r="B5" s="14" t="s">
        <v>67</v>
      </c>
      <c r="C5" s="14"/>
      <c r="D5" s="14"/>
      <c r="E5" s="14">
        <v>500</v>
      </c>
      <c r="F5" s="14">
        <v>1000</v>
      </c>
      <c r="G5" s="3">
        <v>1500</v>
      </c>
    </row>
    <row r="6" spans="1:7" ht="12.75">
      <c r="A6" s="11" t="s">
        <v>68</v>
      </c>
      <c r="B6" s="14">
        <v>1</v>
      </c>
      <c r="C6" s="14">
        <v>0</v>
      </c>
      <c r="D6" s="14">
        <f aca="true" t="shared" si="0" ref="D6:D11">B6+C6</f>
        <v>1</v>
      </c>
      <c r="E6" s="98">
        <v>300</v>
      </c>
      <c r="F6" s="98">
        <v>600</v>
      </c>
      <c r="G6" s="3">
        <f aca="true" t="shared" si="1" ref="G6:G11">FLOOR($G$5/D6,1)</f>
        <v>1500</v>
      </c>
    </row>
    <row r="7" spans="1:9" ht="12.75">
      <c r="A7" s="11" t="s">
        <v>69</v>
      </c>
      <c r="B7" s="14">
        <v>1</v>
      </c>
      <c r="C7" s="14">
        <v>1</v>
      </c>
      <c r="D7" s="14">
        <f t="shared" si="0"/>
        <v>2</v>
      </c>
      <c r="E7" s="14">
        <f>FLOOR($E$5/D7,1)</f>
        <v>250</v>
      </c>
      <c r="F7" s="14">
        <f>FLOOR($F$5/D7,1)</f>
        <v>500</v>
      </c>
      <c r="G7" s="3">
        <f t="shared" si="1"/>
        <v>750</v>
      </c>
      <c r="I7" t="s">
        <v>100</v>
      </c>
    </row>
    <row r="8" spans="1:7" ht="12.75">
      <c r="A8" s="11" t="s">
        <v>70</v>
      </c>
      <c r="B8" s="14">
        <v>1</v>
      </c>
      <c r="C8" s="14">
        <v>2</v>
      </c>
      <c r="D8" s="14">
        <f t="shared" si="0"/>
        <v>3</v>
      </c>
      <c r="E8" s="14">
        <f>FLOOR($E$5/D8,1)</f>
        <v>166</v>
      </c>
      <c r="F8" s="14">
        <f>FLOOR($F$5/D8,1)</f>
        <v>333</v>
      </c>
      <c r="G8" s="3">
        <f t="shared" si="1"/>
        <v>500</v>
      </c>
    </row>
    <row r="9" spans="1:9" ht="12.75">
      <c r="A9" s="11" t="s">
        <v>71</v>
      </c>
      <c r="B9" s="14">
        <v>1</v>
      </c>
      <c r="C9" s="14">
        <v>4</v>
      </c>
      <c r="D9" s="14">
        <f t="shared" si="0"/>
        <v>5</v>
      </c>
      <c r="E9" s="14">
        <f>FLOOR($E$5/D9,1)</f>
        <v>100</v>
      </c>
      <c r="F9" s="14">
        <f>FLOOR($F$5/D9,1)</f>
        <v>200</v>
      </c>
      <c r="G9" s="3">
        <f t="shared" si="1"/>
        <v>300</v>
      </c>
      <c r="I9" t="s">
        <v>99</v>
      </c>
    </row>
    <row r="10" spans="1:7" ht="12.75">
      <c r="A10" s="11" t="s">
        <v>72</v>
      </c>
      <c r="B10" s="14">
        <v>1</v>
      </c>
      <c r="C10" s="14">
        <v>5</v>
      </c>
      <c r="D10" s="14">
        <f t="shared" si="0"/>
        <v>6</v>
      </c>
      <c r="E10" s="14">
        <f>FLOOR($E$5/D10,1)</f>
        <v>83</v>
      </c>
      <c r="F10" s="14">
        <f>FLOOR($F$5/D10,1)</f>
        <v>166</v>
      </c>
      <c r="G10" s="3">
        <f t="shared" si="1"/>
        <v>250</v>
      </c>
    </row>
    <row r="11" spans="1:9" ht="13.5" thickBot="1">
      <c r="A11" s="12" t="s">
        <v>73</v>
      </c>
      <c r="B11" s="63">
        <v>1</v>
      </c>
      <c r="C11" s="63">
        <v>7</v>
      </c>
      <c r="D11" s="63">
        <f t="shared" si="0"/>
        <v>8</v>
      </c>
      <c r="E11" s="63">
        <f>FLOOR($E$5/D11,1)</f>
        <v>62</v>
      </c>
      <c r="F11" s="63">
        <f>FLOOR($F$5/D11,1)</f>
        <v>125</v>
      </c>
      <c r="G11" s="64">
        <f t="shared" si="1"/>
        <v>187</v>
      </c>
      <c r="I11" t="s">
        <v>97</v>
      </c>
    </row>
    <row r="12" spans="1:7" ht="12.75">
      <c r="A12" s="11"/>
      <c r="B12" s="14"/>
      <c r="C12" s="14"/>
      <c r="D12" s="14"/>
      <c r="E12" s="14"/>
      <c r="F12" s="14"/>
      <c r="G12" s="3"/>
    </row>
    <row r="13" spans="1:7" ht="12.75">
      <c r="A13" s="11"/>
      <c r="B13" s="14"/>
      <c r="C13" s="14"/>
      <c r="D13" s="14"/>
      <c r="E13" s="14"/>
      <c r="F13" s="14"/>
      <c r="G13" s="3"/>
    </row>
    <row r="14" spans="1:7" ht="13.5" thickBot="1">
      <c r="A14" s="11" t="s">
        <v>87</v>
      </c>
      <c r="B14" s="14"/>
      <c r="C14" s="14"/>
      <c r="D14" s="14"/>
      <c r="E14" s="14"/>
      <c r="F14" s="14"/>
      <c r="G14" s="3"/>
    </row>
    <row r="15" spans="1:7" ht="12.75">
      <c r="A15" s="83"/>
      <c r="B15" s="84"/>
      <c r="C15" s="84"/>
      <c r="D15" s="84"/>
      <c r="E15" s="84"/>
      <c r="F15" s="84"/>
      <c r="G15" s="7"/>
    </row>
    <row r="16" spans="1:7" ht="12.75">
      <c r="A16" s="11" t="s">
        <v>74</v>
      </c>
      <c r="B16" s="14">
        <v>5</v>
      </c>
      <c r="C16" s="14">
        <v>0</v>
      </c>
      <c r="D16" s="14">
        <f aca="true" t="shared" si="2" ref="D16:D21">B16+C16</f>
        <v>5</v>
      </c>
      <c r="E16" s="14">
        <f aca="true" t="shared" si="3" ref="E16:E21">FLOOR($E$5/D16,1)</f>
        <v>100</v>
      </c>
      <c r="F16" s="14">
        <f aca="true" t="shared" si="4" ref="F16:F21">FLOOR($F$5/D16,1)</f>
        <v>200</v>
      </c>
      <c r="G16" s="3">
        <f aca="true" t="shared" si="5" ref="G16:G21">FLOOR($G$5/D16,1)</f>
        <v>300</v>
      </c>
    </row>
    <row r="17" spans="1:9" ht="12.75">
      <c r="A17" s="11" t="s">
        <v>75</v>
      </c>
      <c r="B17" s="14">
        <v>5</v>
      </c>
      <c r="C17" s="14">
        <v>1</v>
      </c>
      <c r="D17" s="14">
        <f t="shared" si="2"/>
        <v>6</v>
      </c>
      <c r="E17" s="14">
        <f t="shared" si="3"/>
        <v>83</v>
      </c>
      <c r="F17" s="14">
        <f t="shared" si="4"/>
        <v>166</v>
      </c>
      <c r="G17" s="3">
        <f t="shared" si="5"/>
        <v>250</v>
      </c>
      <c r="I17" t="s">
        <v>101</v>
      </c>
    </row>
    <row r="18" spans="1:7" ht="12.75">
      <c r="A18" s="11" t="s">
        <v>76</v>
      </c>
      <c r="B18" s="14">
        <v>5</v>
      </c>
      <c r="C18" s="14">
        <v>2</v>
      </c>
      <c r="D18" s="14">
        <f t="shared" si="2"/>
        <v>7</v>
      </c>
      <c r="E18" s="14">
        <f t="shared" si="3"/>
        <v>71</v>
      </c>
      <c r="F18" s="14">
        <f t="shared" si="4"/>
        <v>142</v>
      </c>
      <c r="G18" s="3">
        <f t="shared" si="5"/>
        <v>214</v>
      </c>
    </row>
    <row r="19" spans="1:9" ht="12.75">
      <c r="A19" s="11" t="s">
        <v>77</v>
      </c>
      <c r="B19" s="14">
        <v>5</v>
      </c>
      <c r="C19" s="14">
        <v>4</v>
      </c>
      <c r="D19" s="14">
        <f t="shared" si="2"/>
        <v>9</v>
      </c>
      <c r="E19" s="14">
        <f t="shared" si="3"/>
        <v>55</v>
      </c>
      <c r="F19" s="14">
        <f t="shared" si="4"/>
        <v>111</v>
      </c>
      <c r="G19" s="3">
        <f t="shared" si="5"/>
        <v>166</v>
      </c>
      <c r="I19" t="s">
        <v>99</v>
      </c>
    </row>
    <row r="20" spans="1:7" ht="12.75">
      <c r="A20" s="11" t="s">
        <v>78</v>
      </c>
      <c r="B20" s="14">
        <v>5</v>
      </c>
      <c r="C20" s="14">
        <v>5</v>
      </c>
      <c r="D20" s="14">
        <f t="shared" si="2"/>
        <v>10</v>
      </c>
      <c r="E20" s="14">
        <f t="shared" si="3"/>
        <v>50</v>
      </c>
      <c r="F20" s="14">
        <f t="shared" si="4"/>
        <v>100</v>
      </c>
      <c r="G20" s="3">
        <f t="shared" si="5"/>
        <v>150</v>
      </c>
    </row>
    <row r="21" spans="1:9" ht="13.5" thickBot="1">
      <c r="A21" s="12" t="s">
        <v>79</v>
      </c>
      <c r="B21" s="63">
        <v>5</v>
      </c>
      <c r="C21" s="63">
        <v>7</v>
      </c>
      <c r="D21" s="63">
        <f t="shared" si="2"/>
        <v>12</v>
      </c>
      <c r="E21" s="63">
        <f t="shared" si="3"/>
        <v>41</v>
      </c>
      <c r="F21" s="63">
        <f t="shared" si="4"/>
        <v>83</v>
      </c>
      <c r="G21" s="64">
        <f t="shared" si="5"/>
        <v>125</v>
      </c>
      <c r="I21" t="s">
        <v>97</v>
      </c>
    </row>
    <row r="24" ht="15">
      <c r="A24" s="85" t="s">
        <v>88</v>
      </c>
    </row>
    <row r="25" ht="12.75">
      <c r="A25" t="s">
        <v>95</v>
      </c>
    </row>
    <row r="26" spans="1:2" ht="15">
      <c r="A26" s="87" t="s">
        <v>96</v>
      </c>
      <c r="B26" s="85"/>
    </row>
    <row r="27" spans="5:7" ht="16.5" thickBot="1">
      <c r="E27" s="112" t="s">
        <v>93</v>
      </c>
      <c r="F27" s="112"/>
      <c r="G27" s="112"/>
    </row>
    <row r="28" spans="1:21" ht="12.75">
      <c r="A28" s="75"/>
      <c r="B28" s="70"/>
      <c r="C28" s="74"/>
      <c r="D28" s="76"/>
      <c r="E28" s="67"/>
      <c r="F28" s="67"/>
      <c r="G28" s="86" t="s">
        <v>89</v>
      </c>
      <c r="H28" s="76"/>
      <c r="I28" s="99" t="s">
        <v>62</v>
      </c>
      <c r="J28" s="100"/>
      <c r="K28" s="101"/>
      <c r="L28" s="99" t="s">
        <v>63</v>
      </c>
      <c r="M28" s="100"/>
      <c r="N28" s="101"/>
      <c r="O28" s="99" t="s">
        <v>64</v>
      </c>
      <c r="P28" s="100"/>
      <c r="Q28" s="101"/>
      <c r="R28" s="59"/>
      <c r="S28" s="59"/>
      <c r="T28" s="59"/>
      <c r="U28" s="59"/>
    </row>
    <row r="29" spans="1:21" ht="12.75">
      <c r="A29" s="77" t="s">
        <v>80</v>
      </c>
      <c r="B29" s="71" t="s">
        <v>81</v>
      </c>
      <c r="C29" s="71" t="s">
        <v>82</v>
      </c>
      <c r="D29" s="78"/>
      <c r="E29" s="105" t="s">
        <v>62</v>
      </c>
      <c r="F29" s="105" t="s">
        <v>63</v>
      </c>
      <c r="G29" s="105" t="s">
        <v>90</v>
      </c>
      <c r="H29" s="79"/>
      <c r="I29" s="102"/>
      <c r="J29" s="103"/>
      <c r="K29" s="104"/>
      <c r="L29" s="102"/>
      <c r="M29" s="103"/>
      <c r="N29" s="104"/>
      <c r="O29" s="102"/>
      <c r="P29" s="103"/>
      <c r="Q29" s="104"/>
      <c r="R29" s="59"/>
      <c r="S29" s="59"/>
      <c r="T29" s="59"/>
      <c r="U29" s="59"/>
    </row>
    <row r="30" spans="1:21" ht="12.75">
      <c r="A30" s="77"/>
      <c r="B30" s="71" t="s">
        <v>91</v>
      </c>
      <c r="C30" s="71" t="s">
        <v>92</v>
      </c>
      <c r="D30" s="78"/>
      <c r="E30" s="105"/>
      <c r="F30" s="105"/>
      <c r="G30" s="105"/>
      <c r="H30" s="79"/>
      <c r="I30" s="60" t="s">
        <v>83</v>
      </c>
      <c r="J30" s="61" t="s">
        <v>7</v>
      </c>
      <c r="K30" s="62" t="s">
        <v>84</v>
      </c>
      <c r="L30" s="60" t="s">
        <v>83</v>
      </c>
      <c r="M30" s="61" t="s">
        <v>7</v>
      </c>
      <c r="N30" s="62" t="s">
        <v>84</v>
      </c>
      <c r="O30" s="60" t="s">
        <v>83</v>
      </c>
      <c r="P30" s="61" t="s">
        <v>7</v>
      </c>
      <c r="Q30" s="62" t="s">
        <v>84</v>
      </c>
      <c r="R30" s="59"/>
      <c r="S30" s="59"/>
      <c r="T30" s="59"/>
      <c r="U30" s="59"/>
    </row>
    <row r="31" spans="1:17" ht="12.75">
      <c r="A31" s="11" t="s">
        <v>109</v>
      </c>
      <c r="B31" s="72">
        <v>50</v>
      </c>
      <c r="C31" s="68">
        <v>50</v>
      </c>
      <c r="D31" s="80"/>
      <c r="E31" s="65">
        <f>FLOOR($E$5/AB54,1)</f>
        <v>142</v>
      </c>
      <c r="F31" s="65">
        <f>FLOOR($F$5/AB54,1)</f>
        <v>285</v>
      </c>
      <c r="G31" s="65">
        <f>FLOOR($G$5/AB54,1)</f>
        <v>428</v>
      </c>
      <c r="H31" s="14"/>
      <c r="I31" s="11">
        <f>E31</f>
        <v>142</v>
      </c>
      <c r="J31" s="14">
        <f>IF(B31,FLOOR(I31/(100/$B31),1),0)</f>
        <v>71</v>
      </c>
      <c r="K31" s="3">
        <f>IF(C31,FLOOR(I31/(100/C31),1),0)</f>
        <v>71</v>
      </c>
      <c r="L31" s="11">
        <f>F31</f>
        <v>285</v>
      </c>
      <c r="M31" s="14">
        <f>IF($B31,FLOOR(L31/(100/$B31),1),0)</f>
        <v>142</v>
      </c>
      <c r="N31" s="3">
        <f>IF($C31,FLOOR(L31/(100/$C31),1),0)</f>
        <v>142</v>
      </c>
      <c r="O31" s="11">
        <f>G31</f>
        <v>428</v>
      </c>
      <c r="P31" s="14">
        <f>IF($B31,FLOOR(O31/(100/$B31),1),0)</f>
        <v>214</v>
      </c>
      <c r="Q31" s="3">
        <f>IF($C31,FLOOR(O31/(100/$C31),1),0)</f>
        <v>214</v>
      </c>
    </row>
    <row r="32" spans="1:17" ht="12.75">
      <c r="A32" s="11" t="s">
        <v>85</v>
      </c>
      <c r="B32" s="72">
        <v>50</v>
      </c>
      <c r="C32" s="68">
        <v>50</v>
      </c>
      <c r="D32" s="80"/>
      <c r="E32" s="65">
        <f>FLOOR($E$5/AB55,1)</f>
        <v>125</v>
      </c>
      <c r="F32" s="65">
        <f>FLOOR($F$5/AB55,1)</f>
        <v>250</v>
      </c>
      <c r="G32" s="65">
        <f>FLOOR($G$5/AB55,1)</f>
        <v>375</v>
      </c>
      <c r="H32" s="14"/>
      <c r="I32" s="11">
        <f>E32</f>
        <v>125</v>
      </c>
      <c r="J32" s="14">
        <f>IF(B32,FLOOR(I32/(100/$B32),1),0)</f>
        <v>62</v>
      </c>
      <c r="K32" s="3">
        <f>IF(C32,FLOOR(I32/(100/C32),1),0)</f>
        <v>62</v>
      </c>
      <c r="L32" s="11">
        <f>F32</f>
        <v>250</v>
      </c>
      <c r="M32" s="14">
        <f>IF(B32,FLOOR(L32/(100/$B32),1),0)</f>
        <v>125</v>
      </c>
      <c r="N32" s="3">
        <f>IF($C32,FLOOR(L32/(100/$C32),1),0)</f>
        <v>125</v>
      </c>
      <c r="O32" s="11">
        <f>G32</f>
        <v>375</v>
      </c>
      <c r="P32" s="14">
        <f>IF($B32,FLOOR(O32/(100/$B32),1),0)</f>
        <v>187</v>
      </c>
      <c r="Q32" s="3">
        <f>IF($C32,FLOOR(O32/(100/$C32),1),0)</f>
        <v>187</v>
      </c>
    </row>
    <row r="33" spans="1:17" ht="12.75">
      <c r="A33" s="11" t="s">
        <v>120</v>
      </c>
      <c r="B33" s="72">
        <v>50</v>
      </c>
      <c r="C33" s="68">
        <v>50</v>
      </c>
      <c r="D33" s="80"/>
      <c r="E33" s="65">
        <f>FLOOR($E$5/AB56,1)</f>
        <v>100</v>
      </c>
      <c r="F33" s="65">
        <f>FLOOR($F$5/AB56,1)</f>
        <v>200</v>
      </c>
      <c r="G33" s="65">
        <f>FLOOR($G$5/AB56,1)</f>
        <v>300</v>
      </c>
      <c r="H33" s="14"/>
      <c r="I33" s="11">
        <f>E33</f>
        <v>100</v>
      </c>
      <c r="J33" s="14">
        <f>IF(B33,FLOOR(I33/(100/$B33),1),0)</f>
        <v>50</v>
      </c>
      <c r="K33" s="3">
        <f>IF(C33,FLOOR(I33/(100/C33),1),0)</f>
        <v>50</v>
      </c>
      <c r="L33" s="11">
        <f>F33</f>
        <v>200</v>
      </c>
      <c r="M33" s="14">
        <f>IF(B33,FLOOR(L33/(100/$B33),1),0)</f>
        <v>100</v>
      </c>
      <c r="N33" s="3">
        <f>IF($C33,FLOOR(L33/(100/$C33),1),0)</f>
        <v>100</v>
      </c>
      <c r="O33" s="11">
        <f>G33</f>
        <v>300</v>
      </c>
      <c r="P33" s="14">
        <f>IF($B33,FLOOR(O33/(100/$B33),1),0)</f>
        <v>150</v>
      </c>
      <c r="Q33" s="3">
        <f>IF($C33,FLOOR(O33/(100/$C33),1),0)</f>
        <v>150</v>
      </c>
    </row>
    <row r="34" spans="1:17" ht="12.75">
      <c r="A34" s="11" t="s">
        <v>86</v>
      </c>
      <c r="B34" s="72">
        <v>50</v>
      </c>
      <c r="C34" s="68">
        <v>50</v>
      </c>
      <c r="D34" s="80"/>
      <c r="E34" s="65">
        <f>FLOOR($E$5/AB57,1)</f>
        <v>90</v>
      </c>
      <c r="F34" s="65">
        <f>FLOOR($F$5/AB57,1)</f>
        <v>181</v>
      </c>
      <c r="G34" s="65">
        <f>FLOOR($G$5/AB57,1)</f>
        <v>272</v>
      </c>
      <c r="H34" s="14"/>
      <c r="I34" s="11">
        <f>E34</f>
        <v>90</v>
      </c>
      <c r="J34" s="14">
        <f>IF(B34,FLOOR(I34/(100/$B34),1),0)</f>
        <v>45</v>
      </c>
      <c r="K34" s="3">
        <f>IF(C34,FLOOR(I34/(100/C34),1),0)</f>
        <v>45</v>
      </c>
      <c r="L34" s="11">
        <f>F34</f>
        <v>181</v>
      </c>
      <c r="M34" s="14">
        <f>IF(B34,FLOOR(L34/(100/$B34),1),0)</f>
        <v>90</v>
      </c>
      <c r="N34" s="3">
        <f>IF($C34,FLOOR(L34/(100/$C34),1),0)</f>
        <v>90</v>
      </c>
      <c r="O34" s="11">
        <f>G34</f>
        <v>272</v>
      </c>
      <c r="P34" s="14">
        <f>IF($B34,FLOOR(O34/(100/$B34),1),0)</f>
        <v>136</v>
      </c>
      <c r="Q34" s="3">
        <f>IF($C34,FLOOR(O34/(100/$C34),1),0)</f>
        <v>136</v>
      </c>
    </row>
    <row r="35" spans="1:17" ht="13.5" thickBot="1">
      <c r="A35" s="12" t="s">
        <v>98</v>
      </c>
      <c r="B35" s="73">
        <v>50</v>
      </c>
      <c r="C35" s="69">
        <v>50</v>
      </c>
      <c r="D35" s="81"/>
      <c r="E35" s="66">
        <f>FLOOR($E$5/AB58,1)</f>
        <v>76</v>
      </c>
      <c r="F35" s="66">
        <f>FLOOR($F$5/AB58,1)</f>
        <v>153</v>
      </c>
      <c r="G35" s="66">
        <f>FLOOR($G$5/AB58,1)</f>
        <v>230</v>
      </c>
      <c r="H35" s="63"/>
      <c r="I35" s="12">
        <f>E35</f>
        <v>76</v>
      </c>
      <c r="J35" s="63">
        <f>IF(B35,FLOOR(I35/(100/$B35),1),0)</f>
        <v>38</v>
      </c>
      <c r="K35" s="64">
        <f>IF(C35,FLOOR(I35/(100/C35),1),0)</f>
        <v>38</v>
      </c>
      <c r="L35" s="12">
        <f>F35</f>
        <v>153</v>
      </c>
      <c r="M35" s="63">
        <f>IF(B35,FLOOR(L35/(100/$B35),1),0)</f>
        <v>76</v>
      </c>
      <c r="N35" s="64">
        <f>IF($C35,FLOOR(L35/(100/$C35),1),0)</f>
        <v>76</v>
      </c>
      <c r="O35" s="12">
        <f>G35</f>
        <v>230</v>
      </c>
      <c r="P35" s="63">
        <f>IF($B35,FLOOR(O35/(100/$B35),1),0)</f>
        <v>115</v>
      </c>
      <c r="Q35" s="64">
        <f>IF($C35,FLOOR(O35/(100/$C35),1),0)</f>
        <v>115</v>
      </c>
    </row>
    <row r="38" ht="12.75">
      <c r="A38" t="s">
        <v>94</v>
      </c>
    </row>
    <row r="41" ht="13.5" thickBot="1"/>
    <row r="42" ht="15.75" thickBot="1">
      <c r="A42" s="90" t="s">
        <v>102</v>
      </c>
    </row>
    <row r="43" spans="1:9" ht="12.75">
      <c r="A43" s="96"/>
      <c r="B43" s="83" t="s">
        <v>118</v>
      </c>
      <c r="C43" s="7"/>
      <c r="D43" s="83" t="s">
        <v>105</v>
      </c>
      <c r="E43" s="84"/>
      <c r="F43" s="84"/>
      <c r="G43" s="83"/>
      <c r="H43" s="84"/>
      <c r="I43" s="7"/>
    </row>
    <row r="44" spans="1:9" ht="12.75">
      <c r="A44" s="65" t="s">
        <v>103</v>
      </c>
      <c r="B44" s="11">
        <v>500</v>
      </c>
      <c r="C44" s="3"/>
      <c r="D44" s="11">
        <f>B7*B44</f>
        <v>500</v>
      </c>
      <c r="E44" s="14"/>
      <c r="F44" s="14" t="s">
        <v>108</v>
      </c>
      <c r="G44" s="11"/>
      <c r="H44" s="14"/>
      <c r="I44" s="3"/>
    </row>
    <row r="45" spans="1:9" ht="12.75">
      <c r="A45" s="65" t="s">
        <v>104</v>
      </c>
      <c r="B45" s="11">
        <v>150</v>
      </c>
      <c r="C45" s="3"/>
      <c r="D45" s="11">
        <f>(B16-1)*B45</f>
        <v>600</v>
      </c>
      <c r="E45" s="14"/>
      <c r="F45" s="14"/>
      <c r="G45" s="11"/>
      <c r="H45" s="14"/>
      <c r="I45" s="3"/>
    </row>
    <row r="46" spans="1:9" ht="12.75">
      <c r="A46" s="65"/>
      <c r="B46" s="11"/>
      <c r="C46" s="3"/>
      <c r="D46" s="11"/>
      <c r="E46" s="14"/>
      <c r="F46" s="14"/>
      <c r="G46" s="11"/>
      <c r="H46" s="14"/>
      <c r="I46" s="3"/>
    </row>
    <row r="47" spans="1:9" ht="12.75">
      <c r="A47" s="65" t="s">
        <v>109</v>
      </c>
      <c r="B47" s="11">
        <v>150</v>
      </c>
      <c r="C47" s="3"/>
      <c r="D47" s="11">
        <f>C17*B47</f>
        <v>150</v>
      </c>
      <c r="E47" s="14"/>
      <c r="F47" s="14" t="s">
        <v>108</v>
      </c>
      <c r="G47" s="11" t="s">
        <v>106</v>
      </c>
      <c r="H47" s="14"/>
      <c r="I47" s="91" t="str">
        <f>IF(D52&gt;=G5,"No","YES")</f>
        <v>YES</v>
      </c>
    </row>
    <row r="48" spans="1:9" ht="12.75">
      <c r="A48" s="65" t="s">
        <v>85</v>
      </c>
      <c r="B48" s="11"/>
      <c r="C48" s="3"/>
      <c r="D48" s="11">
        <f>C18*B48</f>
        <v>0</v>
      </c>
      <c r="E48" s="14"/>
      <c r="F48" s="14"/>
      <c r="G48" s="11"/>
      <c r="H48" s="14"/>
      <c r="I48" s="3"/>
    </row>
    <row r="49" spans="1:9" ht="12.75">
      <c r="A49" s="65" t="s">
        <v>119</v>
      </c>
      <c r="B49" s="11"/>
      <c r="C49" s="3"/>
      <c r="D49" s="11">
        <f>C19*B49</f>
        <v>0</v>
      </c>
      <c r="E49" s="14"/>
      <c r="F49" s="14"/>
      <c r="G49" s="11"/>
      <c r="H49" s="14"/>
      <c r="I49" s="3"/>
    </row>
    <row r="50" spans="1:9" ht="12.75">
      <c r="A50" s="65" t="s">
        <v>86</v>
      </c>
      <c r="B50" s="11"/>
      <c r="C50" s="3"/>
      <c r="D50" s="11">
        <f>C20*B50</f>
        <v>0</v>
      </c>
      <c r="E50" s="14"/>
      <c r="F50" s="14"/>
      <c r="G50" s="11"/>
      <c r="H50" s="14"/>
      <c r="I50" s="3"/>
    </row>
    <row r="51" spans="1:9" ht="13.5" thickBot="1">
      <c r="A51" s="66" t="s">
        <v>98</v>
      </c>
      <c r="B51" s="12"/>
      <c r="C51" s="64"/>
      <c r="D51" s="12">
        <f>C21*B51</f>
        <v>0</v>
      </c>
      <c r="E51" s="63"/>
      <c r="F51" s="63"/>
      <c r="G51" s="11"/>
      <c r="H51" s="14"/>
      <c r="I51" s="3"/>
    </row>
    <row r="52" spans="1:9" ht="13.5" thickBot="1">
      <c r="A52" s="92" t="s">
        <v>107</v>
      </c>
      <c r="B52" s="95">
        <f>B44</f>
        <v>500</v>
      </c>
      <c r="C52" s="94"/>
      <c r="D52" s="95">
        <f>SUM(D44:D51)</f>
        <v>1250</v>
      </c>
      <c r="E52" s="93"/>
      <c r="F52" s="93"/>
      <c r="G52" s="12"/>
      <c r="H52" s="63"/>
      <c r="I52" s="64"/>
    </row>
    <row r="54" ht="12.75">
      <c r="AB54" s="80">
        <f>(100+C17*B31)/100+(C31*4)/100</f>
        <v>3.5</v>
      </c>
    </row>
    <row r="55" ht="12.75">
      <c r="AB55" s="80">
        <f>(100+C18*B32)/100+(C32*4)/100</f>
        <v>4</v>
      </c>
    </row>
    <row r="56" ht="12.75">
      <c r="AB56" s="80">
        <f>(100+C19*B33)/100+(C33*4)/100</f>
        <v>5</v>
      </c>
    </row>
    <row r="57" ht="12.75">
      <c r="AB57" s="80">
        <f>(100+C20*B34)/100+(C34*4)/100</f>
        <v>5.5</v>
      </c>
    </row>
    <row r="58" ht="12.75">
      <c r="AB58" s="80">
        <f>(100+C21*B35)/100+(C35*4)/100</f>
        <v>6.5</v>
      </c>
    </row>
  </sheetData>
  <sheetProtection/>
  <mergeCells count="11">
    <mergeCell ref="A3:A4"/>
    <mergeCell ref="E3:E4"/>
    <mergeCell ref="F3:F4"/>
    <mergeCell ref="G3:G4"/>
    <mergeCell ref="E27:G27"/>
    <mergeCell ref="I28:K29"/>
    <mergeCell ref="L28:N29"/>
    <mergeCell ref="O28:Q29"/>
    <mergeCell ref="E29:E30"/>
    <mergeCell ref="F29:F30"/>
    <mergeCell ref="G29:G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="150" zoomScaleNormal="150" zoomScalePageLayoutView="0" workbookViewId="0" topLeftCell="B76">
      <selection activeCell="C9" sqref="C9"/>
    </sheetView>
  </sheetViews>
  <sheetFormatPr defaultColWidth="9.140625" defaultRowHeight="12.75"/>
  <cols>
    <col min="1" max="1" width="20.421875" style="0" customWidth="1"/>
    <col min="2" max="2" width="68.28125" style="0" customWidth="1"/>
    <col min="3" max="3" width="11.57421875" style="0" customWidth="1"/>
    <col min="4" max="4" width="13.7109375" style="0" customWidth="1"/>
    <col min="5" max="5" width="12.57421875" style="32" customWidth="1"/>
    <col min="6" max="6" width="9.28125" style="0" customWidth="1"/>
    <col min="7" max="7" width="8.421875" style="0" customWidth="1"/>
  </cols>
  <sheetData>
    <row r="1" ht="13.5" thickBot="1">
      <c r="B1" t="s">
        <v>110</v>
      </c>
    </row>
    <row r="2" spans="2:3" ht="26.25" thickBot="1">
      <c r="B2" s="30" t="s">
        <v>111</v>
      </c>
      <c r="C2" s="97" t="s">
        <v>112</v>
      </c>
    </row>
    <row r="3" spans="2:3" ht="12.75">
      <c r="B3" s="29"/>
      <c r="C3" s="18"/>
    </row>
    <row r="4" spans="2:3" ht="12.75">
      <c r="B4" s="11" t="s">
        <v>20</v>
      </c>
      <c r="C4" s="18">
        <v>500</v>
      </c>
    </row>
    <row r="5" spans="2:3" ht="13.5" thickBot="1">
      <c r="B5" s="12" t="s">
        <v>21</v>
      </c>
      <c r="C5" s="19">
        <v>1000</v>
      </c>
    </row>
    <row r="6" ht="13.5" thickBot="1"/>
    <row r="7" spans="1:8" ht="13.5" thickBot="1">
      <c r="A7" t="s">
        <v>17</v>
      </c>
      <c r="B7" s="113" t="s">
        <v>1</v>
      </c>
      <c r="C7" s="114"/>
      <c r="E7" s="1"/>
      <c r="F7" s="17"/>
      <c r="G7" s="17"/>
      <c r="H7" s="17"/>
    </row>
    <row r="8" spans="2:8" ht="12.75">
      <c r="B8" s="2" t="s">
        <v>2</v>
      </c>
      <c r="C8" s="3"/>
      <c r="E8" s="1"/>
      <c r="F8" s="1"/>
      <c r="G8" s="1"/>
      <c r="H8" s="13"/>
    </row>
    <row r="9" spans="1:3" ht="12.75">
      <c r="A9" t="s">
        <v>18</v>
      </c>
      <c r="B9" s="4" t="s">
        <v>22</v>
      </c>
      <c r="C9" s="5">
        <v>1</v>
      </c>
    </row>
    <row r="10" spans="1:5" ht="12.75">
      <c r="A10" t="s">
        <v>18</v>
      </c>
      <c r="B10" s="4" t="s">
        <v>23</v>
      </c>
      <c r="C10" s="5">
        <v>1</v>
      </c>
      <c r="E10" s="1"/>
    </row>
    <row r="11" spans="1:3" ht="12.75">
      <c r="A11" t="s">
        <v>18</v>
      </c>
      <c r="B11" s="4" t="s">
        <v>54</v>
      </c>
      <c r="C11" s="5">
        <v>5</v>
      </c>
    </row>
    <row r="12" spans="1:3" ht="12.75">
      <c r="A12" t="s">
        <v>18</v>
      </c>
      <c r="B12" s="4" t="s">
        <v>19</v>
      </c>
      <c r="C12" s="5">
        <v>3</v>
      </c>
    </row>
    <row r="13" spans="1:3" ht="12.75">
      <c r="A13" t="s">
        <v>18</v>
      </c>
      <c r="B13" s="4" t="s">
        <v>38</v>
      </c>
      <c r="C13" s="5">
        <v>7</v>
      </c>
    </row>
    <row r="14" ht="13.5" thickBot="1">
      <c r="A14" t="s">
        <v>18</v>
      </c>
    </row>
    <row r="15" spans="2:5" ht="12.75">
      <c r="B15" s="6" t="s">
        <v>0</v>
      </c>
      <c r="C15" s="7"/>
      <c r="E15" s="1"/>
    </row>
    <row r="16" spans="1:3" ht="12.75">
      <c r="A16" t="s">
        <v>16</v>
      </c>
      <c r="B16" s="4" t="s">
        <v>8</v>
      </c>
      <c r="C16" s="31">
        <f>C5</f>
        <v>1000</v>
      </c>
    </row>
    <row r="17" spans="2:3" ht="12.75">
      <c r="B17" s="4" t="s">
        <v>43</v>
      </c>
      <c r="C17" s="31">
        <f>C25*C9+C41*C10</f>
        <v>600</v>
      </c>
    </row>
    <row r="18" spans="1:8" ht="13.5" thickBot="1">
      <c r="A18" t="s">
        <v>16</v>
      </c>
      <c r="B18" s="8" t="s">
        <v>35</v>
      </c>
      <c r="C18" s="26">
        <f>IF((C16-C17-(C37*(C11-1)))&lt;0,0,(C16-C17-(C37*(C11-1))))</f>
        <v>0</v>
      </c>
      <c r="E18" s="16"/>
      <c r="F18" s="14"/>
      <c r="G18" s="14"/>
      <c r="H18" s="14"/>
    </row>
    <row r="19" spans="2:8" ht="12.75">
      <c r="B19" s="2" t="s">
        <v>9</v>
      </c>
      <c r="C19" s="3"/>
      <c r="E19" s="16"/>
      <c r="F19" s="14"/>
      <c r="G19" s="14"/>
      <c r="H19" s="14"/>
    </row>
    <row r="20" spans="1:8" ht="15">
      <c r="A20" t="s">
        <v>16</v>
      </c>
      <c r="B20" s="9" t="s">
        <v>10</v>
      </c>
      <c r="C20" s="10">
        <v>350</v>
      </c>
      <c r="E20" s="34"/>
      <c r="F20" s="41">
        <f>C20*C9</f>
        <v>350</v>
      </c>
      <c r="G20" s="15"/>
      <c r="H20" s="14"/>
    </row>
    <row r="21" spans="1:8" ht="15">
      <c r="A21" t="s">
        <v>16</v>
      </c>
      <c r="B21" s="9" t="s">
        <v>47</v>
      </c>
      <c r="C21" s="10">
        <v>250</v>
      </c>
      <c r="E21" s="16"/>
      <c r="F21" s="41">
        <f>C21*C10</f>
        <v>250</v>
      </c>
      <c r="G21" s="16"/>
      <c r="H21" s="14"/>
    </row>
    <row r="22" spans="1:8" ht="13.5" thickBot="1">
      <c r="A22" t="s">
        <v>16</v>
      </c>
      <c r="B22" s="9"/>
      <c r="C22" s="54"/>
      <c r="E22" s="16"/>
      <c r="F22" s="16"/>
      <c r="G22" s="16"/>
      <c r="H22" s="14"/>
    </row>
    <row r="23" spans="2:8" ht="12.75">
      <c r="B23" s="6" t="s">
        <v>11</v>
      </c>
      <c r="C23" s="7"/>
      <c r="E23" s="16"/>
      <c r="F23" s="16"/>
      <c r="G23" s="16"/>
      <c r="H23" s="14"/>
    </row>
    <row r="24" spans="2:8" ht="12.75">
      <c r="B24" s="11" t="s">
        <v>39</v>
      </c>
      <c r="C24" s="25">
        <f>C20</f>
        <v>350</v>
      </c>
      <c r="E24" s="16"/>
      <c r="F24" s="16"/>
      <c r="G24" s="16"/>
      <c r="H24" s="14"/>
    </row>
    <row r="25" spans="2:8" ht="12.75">
      <c r="B25" s="11" t="s">
        <v>40</v>
      </c>
      <c r="C25" s="25">
        <f>MIN(C24,C16/C9)</f>
        <v>350</v>
      </c>
      <c r="E25" s="16"/>
      <c r="F25" s="16"/>
      <c r="G25" s="16"/>
      <c r="H25" s="14"/>
    </row>
    <row r="26" spans="2:8" ht="12.75">
      <c r="B26" t="s">
        <v>41</v>
      </c>
      <c r="C26" s="25">
        <f>C25-C32</f>
        <v>250</v>
      </c>
      <c r="E26" s="16"/>
      <c r="F26" s="16"/>
      <c r="G26" s="16"/>
      <c r="H26" s="14"/>
    </row>
    <row r="27" spans="1:8" ht="12.75">
      <c r="A27" t="s">
        <v>16</v>
      </c>
      <c r="B27" s="11" t="s">
        <v>33</v>
      </c>
      <c r="C27" s="27">
        <f>C26+C29-C28</f>
        <v>250</v>
      </c>
      <c r="E27" s="16"/>
      <c r="F27" s="16"/>
      <c r="G27" s="16"/>
      <c r="H27" s="14"/>
    </row>
    <row r="28" spans="1:8" ht="12.75">
      <c r="A28" t="s">
        <v>16</v>
      </c>
      <c r="B28" s="11" t="s">
        <v>12</v>
      </c>
      <c r="C28" s="28">
        <v>0</v>
      </c>
      <c r="E28" s="16"/>
      <c r="F28" s="16"/>
      <c r="G28" s="16"/>
      <c r="H28" s="14"/>
    </row>
    <row r="29" spans="1:8" ht="12.75">
      <c r="A29" t="s">
        <v>16</v>
      </c>
      <c r="B29" s="11" t="s">
        <v>13</v>
      </c>
      <c r="C29" s="3">
        <v>0</v>
      </c>
      <c r="E29" s="16"/>
      <c r="F29" s="16"/>
      <c r="G29" s="16"/>
      <c r="H29" s="14"/>
    </row>
    <row r="30" spans="1:8" ht="12.75">
      <c r="A30" t="s">
        <v>16</v>
      </c>
      <c r="B30" s="11" t="s">
        <v>26</v>
      </c>
      <c r="C30" s="42">
        <v>60</v>
      </c>
      <c r="D30">
        <f>((C16-F20-F21-F37)/(C11-1))</f>
        <v>0</v>
      </c>
      <c r="E30" s="16"/>
      <c r="F30" s="14">
        <f>C30*(C11-1)</f>
        <v>240</v>
      </c>
      <c r="G30" s="14"/>
      <c r="H30" s="14"/>
    </row>
    <row r="31" spans="2:3" ht="13.5" thickBot="1">
      <c r="B31" s="44" t="s">
        <v>37</v>
      </c>
      <c r="C31" s="43">
        <f>MIN(((C16-C17-F37)/(C11-1)),C30)</f>
        <v>0</v>
      </c>
    </row>
    <row r="32" spans="1:5" ht="12.75">
      <c r="A32" t="s">
        <v>16</v>
      </c>
      <c r="B32" s="37" t="s">
        <v>34</v>
      </c>
      <c r="C32" s="39">
        <v>100</v>
      </c>
      <c r="E32" s="52" t="str">
        <f>IF(C32&gt;MIN(C25,C41),"DISABLE","ENABLE")</f>
        <v>ENABLE</v>
      </c>
    </row>
    <row r="33" spans="2:5" ht="12.75">
      <c r="B33" s="37" t="s">
        <v>45</v>
      </c>
      <c r="C33" s="47">
        <f>MIN(MIN(C25,C41),C32)</f>
        <v>100</v>
      </c>
      <c r="E33" s="53"/>
    </row>
    <row r="34" spans="2:3" ht="12.75">
      <c r="B34" s="48" t="s">
        <v>113</v>
      </c>
      <c r="C34" s="47"/>
    </row>
    <row r="35" spans="1:5" ht="12.75">
      <c r="A35" t="s">
        <v>16</v>
      </c>
      <c r="B35" s="37" t="s">
        <v>55</v>
      </c>
      <c r="C35" s="57" t="s">
        <v>48</v>
      </c>
      <c r="E35" s="46" t="str">
        <f>IF(((C16-C17)/(C11-1))&gt;=C33,"ENABLED","DISABLED")</f>
        <v>ENABLED</v>
      </c>
    </row>
    <row r="36" spans="2:5" ht="12.75">
      <c r="B36" s="50" t="s">
        <v>42</v>
      </c>
      <c r="C36" s="49">
        <f>C33*(C11-1)</f>
        <v>400</v>
      </c>
      <c r="E36" s="51"/>
    </row>
    <row r="37" spans="1:6" ht="12.75">
      <c r="A37" t="s">
        <v>16</v>
      </c>
      <c r="B37" s="37" t="s">
        <v>56</v>
      </c>
      <c r="C37">
        <f>IF(AND((C16-C17&gt;0),(E35="ENABLED")),C32,0)</f>
        <v>100</v>
      </c>
      <c r="F37">
        <f>C37*(C11-1)</f>
        <v>400</v>
      </c>
    </row>
    <row r="38" spans="2:3" ht="13.5" thickBot="1">
      <c r="B38" s="14"/>
      <c r="C38" s="14"/>
    </row>
    <row r="39" spans="2:3" ht="12.75">
      <c r="B39" s="6" t="s">
        <v>14</v>
      </c>
      <c r="C39" s="7"/>
    </row>
    <row r="40" spans="2:3" ht="12.75">
      <c r="B40" s="11" t="s">
        <v>44</v>
      </c>
      <c r="C40" s="3">
        <f>C21</f>
        <v>250</v>
      </c>
    </row>
    <row r="41" spans="2:3" ht="12.75">
      <c r="B41" s="11" t="s">
        <v>46</v>
      </c>
      <c r="C41" s="14">
        <f>MIN(C40,(C16-C25*C9)/C10)</f>
        <v>250</v>
      </c>
    </row>
    <row r="42" spans="2:3" ht="12.75">
      <c r="B42" s="37" t="s">
        <v>50</v>
      </c>
      <c r="C42">
        <f>C41-C46</f>
        <v>150</v>
      </c>
    </row>
    <row r="43" spans="2:3" ht="12.75">
      <c r="B43" s="11" t="s">
        <v>57</v>
      </c>
      <c r="C43" s="3">
        <f>C18</f>
        <v>0</v>
      </c>
    </row>
    <row r="44" spans="2:3" ht="13.5" thickBot="1">
      <c r="B44" s="44" t="s">
        <v>36</v>
      </c>
      <c r="C44">
        <f>MIN(C42,C18/(C12-1))</f>
        <v>0</v>
      </c>
    </row>
    <row r="45" spans="1:3" ht="12.75">
      <c r="A45" t="s">
        <v>16</v>
      </c>
      <c r="B45" s="40" t="s">
        <v>27</v>
      </c>
      <c r="C45" s="55" t="s">
        <v>48</v>
      </c>
    </row>
    <row r="46" spans="1:3" ht="12.75">
      <c r="A46" t="s">
        <v>16</v>
      </c>
      <c r="B46" s="37" t="s">
        <v>52</v>
      </c>
      <c r="C46">
        <f>IF(AND((C45="YES"),(C33&lt;=C21)),C33,0)</f>
        <v>100</v>
      </c>
    </row>
    <row r="47" spans="2:3" ht="12.75">
      <c r="B47" s="37" t="s">
        <v>28</v>
      </c>
      <c r="C47" s="56" t="str">
        <f>IF(C45="YES","YES","NO")</f>
        <v>YES</v>
      </c>
    </row>
    <row r="48" spans="1:3" ht="12.75">
      <c r="A48" t="s">
        <v>16</v>
      </c>
      <c r="B48" s="11" t="s">
        <v>53</v>
      </c>
      <c r="C48">
        <f>IF(AND(C47="YES",C45="YES"),MIN(C46,(C18/(C12-1))),0)</f>
        <v>0</v>
      </c>
    </row>
    <row r="49" spans="2:3" ht="12.75">
      <c r="B49" s="11" t="s">
        <v>51</v>
      </c>
      <c r="C49" s="56" t="str">
        <f>IF(C45="YES","YES","NO")</f>
        <v>YES</v>
      </c>
    </row>
    <row r="50" spans="2:3" ht="12.75">
      <c r="B50" s="37" t="s">
        <v>49</v>
      </c>
      <c r="C50">
        <f>IF(AND(C47="YES",C45="YES"),MIN(C46,CEILING((C18/(C13-1)),1)),0)</f>
        <v>0</v>
      </c>
    </row>
    <row r="51" ht="12.75">
      <c r="B51" s="14"/>
    </row>
    <row r="52" ht="13.5" thickBot="1"/>
    <row r="53" spans="2:5" ht="13.5" thickBot="1">
      <c r="B53" s="115" t="s">
        <v>15</v>
      </c>
      <c r="C53" s="116"/>
      <c r="D53" s="116"/>
      <c r="E53" s="117"/>
    </row>
    <row r="54" spans="2:5" ht="13.5" thickBot="1">
      <c r="B54" s="20" t="s">
        <v>3</v>
      </c>
      <c r="C54" s="22" t="s">
        <v>4</v>
      </c>
      <c r="D54" s="21" t="s">
        <v>25</v>
      </c>
      <c r="E54" s="33" t="s">
        <v>24</v>
      </c>
    </row>
    <row r="55" spans="2:5" ht="12.75">
      <c r="B55" s="11" t="s">
        <v>5</v>
      </c>
      <c r="C55" s="35"/>
      <c r="D55" s="23">
        <f>C18</f>
        <v>0</v>
      </c>
      <c r="E55" s="35"/>
    </row>
    <row r="56" spans="2:5" ht="12.75">
      <c r="B56" s="2" t="s">
        <v>6</v>
      </c>
      <c r="C56" s="35"/>
      <c r="D56" s="36"/>
      <c r="E56" s="35"/>
    </row>
    <row r="57" spans="2:5" ht="12.75">
      <c r="B57" s="11" t="s">
        <v>29</v>
      </c>
      <c r="C57" s="18">
        <v>0</v>
      </c>
      <c r="D57" s="23">
        <f>C26</f>
        <v>250</v>
      </c>
      <c r="E57" s="18">
        <v>0</v>
      </c>
    </row>
    <row r="58" spans="2:5" ht="12.75">
      <c r="B58" s="11" t="s">
        <v>114</v>
      </c>
      <c r="C58" s="18">
        <v>0</v>
      </c>
      <c r="D58" s="23">
        <f>C31</f>
        <v>0</v>
      </c>
      <c r="E58" s="18">
        <v>0</v>
      </c>
    </row>
    <row r="59" spans="2:5" ht="12.75">
      <c r="B59" s="37" t="s">
        <v>30</v>
      </c>
      <c r="C59" s="32">
        <v>0</v>
      </c>
      <c r="D59" s="32">
        <f>C33</f>
        <v>100</v>
      </c>
      <c r="E59" s="32">
        <v>0</v>
      </c>
    </row>
    <row r="60" spans="2:5" ht="12.75">
      <c r="B60" s="37" t="s">
        <v>58</v>
      </c>
      <c r="C60" s="32">
        <v>0</v>
      </c>
      <c r="D60" s="32">
        <f>C37</f>
        <v>100</v>
      </c>
      <c r="E60" s="32">
        <v>0</v>
      </c>
    </row>
    <row r="62" spans="2:5" ht="12.75">
      <c r="B62" s="2" t="s">
        <v>7</v>
      </c>
      <c r="C62" s="35"/>
      <c r="D62" s="36"/>
      <c r="E62" s="35"/>
    </row>
    <row r="63" spans="2:5" ht="12.75">
      <c r="B63" s="11" t="s">
        <v>31</v>
      </c>
      <c r="C63" s="18">
        <v>0</v>
      </c>
      <c r="D63" s="23">
        <f>C42</f>
        <v>150</v>
      </c>
      <c r="E63" s="18">
        <v>0</v>
      </c>
    </row>
    <row r="64" spans="2:5" ht="13.5" thickBot="1">
      <c r="B64" s="12" t="s">
        <v>115</v>
      </c>
      <c r="C64" s="19">
        <v>0</v>
      </c>
      <c r="D64" s="24">
        <f>C44</f>
        <v>0</v>
      </c>
      <c r="E64" s="19">
        <v>0</v>
      </c>
    </row>
    <row r="65" spans="1:5" ht="12.75">
      <c r="A65" t="s">
        <v>16</v>
      </c>
      <c r="B65" s="38" t="s">
        <v>32</v>
      </c>
      <c r="C65" s="32">
        <v>0</v>
      </c>
      <c r="D65" s="32">
        <f>C46</f>
        <v>100</v>
      </c>
      <c r="E65" s="32">
        <v>0</v>
      </c>
    </row>
    <row r="66" spans="1:5" ht="13.5" thickBot="1">
      <c r="A66" t="s">
        <v>16</v>
      </c>
      <c r="B66" s="43" t="s">
        <v>116</v>
      </c>
      <c r="C66" s="45">
        <v>0</v>
      </c>
      <c r="D66" s="45">
        <f>C48</f>
        <v>0</v>
      </c>
      <c r="E66" s="45">
        <v>0</v>
      </c>
    </row>
    <row r="67" spans="2:5" ht="13.5" thickBot="1">
      <c r="B67" s="38" t="s">
        <v>117</v>
      </c>
      <c r="C67" s="51">
        <v>0</v>
      </c>
      <c r="D67" s="32">
        <f>C50</f>
        <v>0</v>
      </c>
      <c r="E67" s="45">
        <v>0</v>
      </c>
    </row>
    <row r="68" ht="12.75">
      <c r="A68" t="s">
        <v>16</v>
      </c>
    </row>
  </sheetData>
  <sheetProtection/>
  <protectedRanges>
    <protectedRange sqref="C30" name="Range5"/>
  </protectedRanges>
  <mergeCells count="2">
    <mergeCell ref="B7:C7"/>
    <mergeCell ref="B53:E5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Kim</cp:lastModifiedBy>
  <dcterms:created xsi:type="dcterms:W3CDTF">1996-10-14T23:33:28Z</dcterms:created>
  <dcterms:modified xsi:type="dcterms:W3CDTF">2011-10-25T17:27:44Z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