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15" activeTab="0"/>
  </bookViews>
  <sheets>
    <sheet name="Major Factors &amp; Volume Summary" sheetId="1" r:id="rId1"/>
    <sheet name="User Manual" sheetId="2" r:id="rId2"/>
    <sheet name="Overheads" sheetId="3" state="hidden" r:id="rId3"/>
    <sheet name="Messages" sheetId="4" state="hidden" r:id="rId4"/>
    <sheet name="Flows" sheetId="5" state="hidden" r:id="rId5"/>
    <sheet name="Volume Details" sheetId="6" state="hidden" r:id="rId6"/>
    <sheet name="Bandwidth" sheetId="7" state="hidden" r:id="rId7"/>
  </sheets>
  <externalReferences>
    <externalReference r:id="rId10"/>
  </externalReferences>
  <definedNames>
    <definedName name="A">'Messages'!#REF!</definedName>
    <definedName name="ABC">'Messages'!#REF!</definedName>
    <definedName name="BurstVolOfCtrlTblUpdateHHIndFlow">'Flows'!$G$26</definedName>
    <definedName name="BurstVolOfDMPNetProbe">'Flows'!$G$71</definedName>
    <definedName name="BurstVolOfHeartbeat">'Flows'!$G$48</definedName>
    <definedName name="BurstVolOfRCCallMeters">'Flows'!$G$38</definedName>
    <definedName name="BurstVolOfTimerNotificationInd">'Flows'!$G$39</definedName>
    <definedName name="CallRate">'Major Factors &amp; Volume Summary'!$G$13</definedName>
    <definedName name="CtrlTblUpdateIndVol">'Flows'!#REF!</definedName>
    <definedName name="FrCCHighTCPAckWeight">#REF!</definedName>
    <definedName name="FrCCLowTCPAckWeight">#REF!</definedName>
    <definedName name="FrCCMediumTCPAckWeight">#REF!</definedName>
    <definedName name="LenOfEachPV">'Major Factors &amp; Volume Summary'!#REF!</definedName>
    <definedName name="LenOfECC">'Major Factors &amp; Volume Summary'!#REF!</definedName>
    <definedName name="MeanVolOfCtrlTblUpdateIndFlow">'Flows'!$G$12</definedName>
    <definedName name="MeanVolOfTrafficFrCCHigh">'[1]Volume Details'!$H$28</definedName>
    <definedName name="MeanVolOfTrafficFrCCLow">'[1]Volume Details'!$L$28</definedName>
    <definedName name="MeanVolOfTrafficFrCCMedium">'[1]Volume Details'!$J$28</definedName>
    <definedName name="MeanVolOfTrafficToCCHigh">'[1]Volume Details'!$H$15</definedName>
    <definedName name="MeanVolOfTrafficToCCLow">'[1]Volume Details'!$L$15</definedName>
    <definedName name="MeanVolOfTrafficToCCMedium">'[1]Volume Details'!$J$15</definedName>
    <definedName name="NumOfAgents">'[1]Major Factors &amp; Volume Summary'!$G$4</definedName>
    <definedName name="NumOfAgentSkillGroups">'[1]Major Factors &amp; Volume Summary'!$G$12</definedName>
    <definedName name="NumOfAgentsWithStateChangesPerSecond">#REF!</definedName>
    <definedName name="NumOfNetTrunkGroups">'Major Factors &amp; Volume Summary'!$G$6</definedName>
    <definedName name="NumOfPeripherals">'Major Factors &amp; Volume Summary'!$G$5</definedName>
    <definedName name="NumOfPhysicalControllers">'[1]Major Factors &amp; Volume Summary'!$G$11</definedName>
    <definedName name="NumOfPVs">'Major Factors &amp; Volume Summary'!#REF!</definedName>
    <definedName name="NumOfRoutes">'Major Factors &amp; Volume Summary'!$G$8</definedName>
    <definedName name="NumOfServices">'Major Factors &amp; Volume Summary'!$G$9</definedName>
    <definedName name="NumOfSkillGroups">'[1]Major Factors &amp; Volume Summary'!$G$8</definedName>
    <definedName name="NumOfTrunkGroups">'Major Factors &amp; Volume Summary'!$G$7</definedName>
    <definedName name="OverheadOfProtocolHeader">'Overheads'!$E$8</definedName>
    <definedName name="PercentageOfNetTransfer">'[1]Major Factors &amp; Volume Summary'!$G$29</definedName>
    <definedName name="PercentageOfPostRouting">'[1]Major Factors &amp; Volume Summary'!$G$27</definedName>
    <definedName name="PercentageOfPreRouting">'[1]Major Factors &amp; Volume Summary'!$G$26</definedName>
    <definedName name="PercentageOfTranslationRouting">'[1]Major Factors &amp; Volume Summary'!$G$28</definedName>
    <definedName name="PercentOfCallsQueued">'Major Factors &amp; Volume Summary'!$G$17</definedName>
    <definedName name="PeriodOfCtrlTblUpdateSyncInd4AgentTbl">#REF!</definedName>
    <definedName name="PeriodOfDMPNetProbe">#REF!</definedName>
    <definedName name="PeriodOfHeartbeat">#REF!</definedName>
    <definedName name="PeriodOfHHTraffic">#REF!</definedName>
    <definedName name="PeriodOfTimerNotificationInd">#REF!</definedName>
    <definedName name="PeripheralConfigTblSize">'Messages'!#REF!</definedName>
    <definedName name="ProtocolOverhead">#REF!</definedName>
    <definedName name="SizeOfBlindTransferConf">#REF!</definedName>
    <definedName name="SizeOfCallEvent">'Messages'!$D$63</definedName>
    <definedName name="SizeOfCallEventReport">'Messages'!$D$63</definedName>
    <definedName name="SizeOfClosedCallRecord">#REF!</definedName>
    <definedName name="SizeOfConnect">'Messages'!$D$141</definedName>
    <definedName name="SizeOfDeviceTargetPreCallInd">#REF!</definedName>
    <definedName name="SizeOfICCallPreRouteInd">#REF!</definedName>
    <definedName name="SizeOfICReleaseTranslationRouteInd">#REF!</definedName>
    <definedName name="SizeOfMsg">'Messages'!#REF!</definedName>
    <definedName name="SizeOfMsgClosedCallRecord">'Messages'!$D$187</definedName>
    <definedName name="SizeOfMsgHeartbeat">'Messages'!#REF!</definedName>
    <definedName name="SizeOfMsgHeartbeatInd">'Messages'!#REF!</definedName>
    <definedName name="SizeOfMsgINRCMeters">'Messages'!#REF!</definedName>
    <definedName name="SizeOfMsgNetProbe">'Messages'!#REF!</definedName>
    <definedName name="SizeOfMsgTblUpdate">'Messages'!#REF!</definedName>
    <definedName name="SizeOfMsgTblUpdate4PeripheralConfig">'Messages'!#REF!</definedName>
    <definedName name="SizeOfMsgTblUpdate4PeripheralConfigTbl">'Messages'!#REF!</definedName>
    <definedName name="SizeOfMsgTblUpdateHHInd4NetTrunkGroup">'Messages'!#REF!</definedName>
    <definedName name="SizeOfMsgTblUpdateHHInd4Peripheral">'Messages'!#REF!</definedName>
    <definedName name="SizeOfMsgTblUpdateHHInd4Service">'Messages'!#REF!</definedName>
    <definedName name="SizeOfMsgTblUpdateHHInd4TrunkGroup">'Messages'!#REF!</definedName>
    <definedName name="SizeOfMsgTblUpdateInd4Peripheral">'Messages'!#REF!</definedName>
    <definedName name="SizeOfMsgTblUpdateInd4PeripheralConfig">'Messages'!#REF!</definedName>
    <definedName name="SizeOfMsgTimerNotificationInd">'Messages'!#REF!</definedName>
    <definedName name="SizeOfNewCall">'Messages'!$D$101</definedName>
    <definedName name="SizeOfReqInstr">'Messages'!$D$15</definedName>
    <definedName name="SizeOfRunScript">'Messages'!$D$35</definedName>
    <definedName name="SizeOfScriptResp">'Messages'!$D$52</definedName>
    <definedName name="SizeOfTransferEvent">#REF!</definedName>
    <definedName name="SizeOfVRUQueueEvent">'Messages'!$D$165</definedName>
    <definedName name="SizeOfVRUQueueService">'Messages'!$D$154</definedName>
    <definedName name="T2SCVolFrCC">'Flows'!#REF!</definedName>
    <definedName name="T2SCVolToCC">'Flows'!#REF!</definedName>
    <definedName name="TimeClosedCallSentInNetTransfer">#REF!</definedName>
    <definedName name="TimesClosedCallSentInPostRouting">#REF!</definedName>
    <definedName name="TimesClosedCallSentInPreRouting">#REF!</definedName>
    <definedName name="TimesClosedCallSentInTransRouting">#REF!</definedName>
    <definedName name="ToCCHighTCPAckWeight">#REF!</definedName>
    <definedName name="ToCCLowTCPAckWeight">#REF!</definedName>
    <definedName name="ToCCMediumTCPAckWeight">#REF!</definedName>
    <definedName name="VolOfCtrlTblUpdateHHIndFlow">'Flows'!$G$26</definedName>
    <definedName name="VolOfTblUpdateHHIndFlow">'Flows'!#REF!</definedName>
    <definedName name="VolOfTblUpdateIndFlow">'Flows'!#REF!</definedName>
    <definedName name="VolOfTrafficFrCCHigh">'Volume Details'!$H$28</definedName>
    <definedName name="VolOfTrafficFrCCLow">'Volume Details'!$L$28</definedName>
    <definedName name="VolOfTrafficFrCCMedium">'Volume Details'!$J$28</definedName>
    <definedName name="VolOfTrafficToCCHigh">'Volume Details'!$H$15</definedName>
    <definedName name="VolOfTrafficToCCLow">'Volume Details'!$L$15</definedName>
    <definedName name="VolOfTrafficToCCMedium">'Volume Details'!$J$15</definedName>
    <definedName name="VolOfType2SCFrCCHigh">'Flows'!#REF!</definedName>
    <definedName name="VolOfType2SCToCCHigh">'Flows'!#REF!</definedName>
    <definedName name="VolOfType2SCToCCLow">'Flows'!#REF!</definedName>
    <definedName name="VolOfType2ToCCHigh">'Flows'!#REF!</definedName>
    <definedName name="VolOfType2ToCCLow">'Flows'!#REF!</definedName>
  </definedNames>
  <calcPr fullCalcOnLoad="1"/>
</workbook>
</file>

<file path=xl/comments1.xml><?xml version="1.0" encoding="utf-8"?>
<comments xmlns="http://schemas.openxmlformats.org/spreadsheetml/2006/main">
  <authors>
    <author>Mohammed Darwish</author>
  </authors>
  <commentList>
    <comment ref="G5" authorId="0">
      <text>
        <r>
          <rPr>
            <sz val="10"/>
            <rFont val="Tahoma"/>
            <family val="2"/>
          </rPr>
          <t>A peripheral is one or more IPIVRs in this case,  which receives calls routed by the ICM Central Controller. Check the number of peripherals for a PG through PG Explorer.</t>
        </r>
      </text>
    </comment>
    <comment ref="G18" authorId="0">
      <text>
        <r>
          <rPr>
            <sz val="10"/>
            <rFont val="Tahoma"/>
            <family val="2"/>
          </rPr>
          <t xml:space="preserve">Weighted average of number of "RUN VRU" script nodes that a call will execute.   Number of “RUN VRU” script nodes will vary per routing script based upon call type, number of "IF" nodes and number of Loop back to "Run VRU" nodes.  "IF" nodes are parallel paths and a call will execute only down one path. On the other hand, the looping capability within the routing script will allow a “RUN VRU” script node to execute multiple times for the same call. 
For example, if you have a configuration with three call types CT-1, CT-2 and CT-3, and the number of "Run VRU" nodes for each type is 1, 3, and 2 respectively, and the percent of calls handled by each call type is 70%, 10%, and 20% respectively, then the weighted average of "RUN VRU" scripts would be the sum of:
1*.7 + 3*.1 + 2*.2 = 2
</t>
        </r>
      </text>
    </comment>
    <comment ref="G13" authorId="0">
      <text>
        <r>
          <rPr>
            <sz val="10"/>
            <rFont val="Tahoma"/>
            <family val="2"/>
          </rPr>
          <t>Call Rate (BHCA): Busy Hour Call Attempts. This is the call rate for all peripherals under the control of the target PG.  The PG may support more than one IPIVR peripheral if needed. This call rate would be the sum total of all calls handeled by the IPIVRs under the controle of ICM. Calls not routed by the ICM but handled by the IP-IVR should not be included in this number since no traffic will be generated between the PG and ICM CC for these calls.</t>
        </r>
      </text>
    </comment>
    <comment ref="G17" authorId="0">
      <text>
        <r>
          <rPr>
            <sz val="10"/>
            <rFont val="Tahoma"/>
            <family val="2"/>
          </rPr>
          <t>The Percentage of Calls Queued is the number of calls getting queued divided by the number of calls arriving at the VRU PG</t>
        </r>
      </text>
    </comment>
    <comment ref="G19" authorId="0">
      <text>
        <r>
          <rPr>
            <sz val="10"/>
            <rFont val="Tahoma"/>
            <family val="2"/>
          </rPr>
          <t>Enter the average number of bytes of the sum total of all ECC variables configured in the ICM database. This sum total can not exceed the maximum of 2000 bytes. If no ECC variables are used, this field  should be zero. All 10 Peripheral Variables are already accounted for in the calculator.</t>
        </r>
      </text>
    </comment>
    <comment ref="G61" authorId="0">
      <text>
        <r>
          <rPr>
            <sz val="10"/>
            <rFont val="Tahoma"/>
            <family val="2"/>
          </rPr>
          <t xml:space="preserve">This is sum of both High and Medium priority traffic for the AF31 queue sourced at the high priority IP address. </t>
        </r>
      </text>
    </comment>
    <comment ref="G62" authorId="0">
      <text>
        <r>
          <rPr>
            <sz val="10"/>
            <rFont val="Tahoma"/>
            <family val="2"/>
          </rPr>
          <t>This is the total low priority traffic for the AF21 queue sourced at the normal priority IP address.</t>
        </r>
      </text>
    </comment>
    <comment ref="G57" authorId="0">
      <text>
        <r>
          <rPr>
            <sz val="10"/>
            <rFont val="Tahoma"/>
            <family val="2"/>
          </rPr>
          <t xml:space="preserve">This is the minimum Link Bandwidth for all priority queus, not including any other traffic traversing the link, such as voice RTP, voice call control, or any other type.
</t>
        </r>
      </text>
    </comment>
  </commentList>
</comments>
</file>

<file path=xl/sharedStrings.xml><?xml version="1.0" encoding="utf-8"?>
<sst xmlns="http://schemas.openxmlformats.org/spreadsheetml/2006/main" count="666" uniqueCount="292">
  <si>
    <t>ReqInstr_V2 Message (PG to CC)</t>
  </si>
  <si>
    <t>Field</t>
  </si>
  <si>
    <t>DlgHdr</t>
  </si>
  <si>
    <t>UserToUserType</t>
  </si>
  <si>
    <t>CorrelationID</t>
  </si>
  <si>
    <t>CalledPartyNumber</t>
  </si>
  <si>
    <t>CallingPartyNumber</t>
  </si>
  <si>
    <t>UserToUserInfo</t>
  </si>
  <si>
    <t>Data Type</t>
  </si>
  <si>
    <t>DialogHdr</t>
  </si>
  <si>
    <t>String</t>
  </si>
  <si>
    <t>Size</t>
  </si>
  <si>
    <t>Max. Size</t>
  </si>
  <si>
    <t>Average Size</t>
  </si>
  <si>
    <t>Fixed Part …</t>
  </si>
  <si>
    <t>Floating Part …</t>
  </si>
  <si>
    <t>Message Size on Average:</t>
  </si>
  <si>
    <t>RunScript_V3 Message (CC to PG)</t>
  </si>
  <si>
    <t>InvokeID</t>
  </si>
  <si>
    <t>CRSCallID</t>
  </si>
  <si>
    <t>long</t>
  </si>
  <si>
    <t>ECCDataLen</t>
  </si>
  <si>
    <t>ScriptID</t>
  </si>
  <si>
    <t>ScriptConfig</t>
  </si>
  <si>
    <t>ECCData</t>
  </si>
  <si>
    <t>ScriptResp_V3 Message (PG to CC)</t>
  </si>
  <si>
    <t>ResultCode</t>
  </si>
  <si>
    <t>CallerEngeredDigits</t>
  </si>
  <si>
    <t>CallEventReport Message (PG to CC)</t>
  </si>
  <si>
    <t>LabelIndex</t>
  </si>
  <si>
    <t>Event</t>
  </si>
  <si>
    <t>DialogEnds</t>
  </si>
  <si>
    <t>BOOL</t>
  </si>
  <si>
    <t>Message</t>
  </si>
  <si>
    <t>ReqInstr_V2</t>
  </si>
  <si>
    <t>RunScript_V3</t>
  </si>
  <si>
    <t>ScriptResp_V3</t>
  </si>
  <si>
    <t>Direction</t>
  </si>
  <si>
    <t>Sending Times</t>
  </si>
  <si>
    <t>PG-&gt;CC</t>
  </si>
  <si>
    <t>PG&lt;-CC</t>
  </si>
  <si>
    <t>Connect_V8</t>
  </si>
  <si>
    <t>CallEventReport (Answered)</t>
  </si>
  <si>
    <t>CallEventReport (Disconnected)</t>
  </si>
  <si>
    <t>NewCall_V8</t>
  </si>
  <si>
    <t>NewCall_V8 Message (PG to CC)</t>
  </si>
  <si>
    <t>GrpDelKey</t>
  </si>
  <si>
    <t>unsigned long</t>
  </si>
  <si>
    <t>RouterCallKeySeq#</t>
  </si>
  <si>
    <t>MRDomainID</t>
  </si>
  <si>
    <t>LegacyPreCallMsgEnabled</t>
  </si>
  <si>
    <t>NICCallID</t>
  </si>
  <si>
    <t>RCCallID_t</t>
  </si>
  <si>
    <t>PGCallID</t>
  </si>
  <si>
    <t>OperationCode</t>
  </si>
  <si>
    <t>short</t>
  </si>
  <si>
    <t>OperationFlags</t>
  </si>
  <si>
    <t>PreferredAgentSkillTargetID</t>
  </si>
  <si>
    <t>BOOL (DWORD alignment)</t>
  </si>
  <si>
    <t>MsgOrigin</t>
  </si>
  <si>
    <t>char</t>
  </si>
  <si>
    <t>RouteDeviceType</t>
  </si>
  <si>
    <t>Priority</t>
  </si>
  <si>
    <t>CallAtVRU</t>
  </si>
  <si>
    <t>CLIDPresentationRestriction</t>
  </si>
  <si>
    <t>long (2 bytes used)</t>
  </si>
  <si>
    <t>NetworkDelay</t>
  </si>
  <si>
    <t>OriginatorType</t>
  </si>
  <si>
    <t>unsigned long (one byte used)</t>
  </si>
  <si>
    <t>CallerEnteredDigits</t>
  </si>
  <si>
    <t>Originator</t>
  </si>
  <si>
    <t>NICCalledPartyNumber</t>
  </si>
  <si>
    <t>RouteID</t>
  </si>
  <si>
    <t>ErrorCode</t>
  </si>
  <si>
    <t>TRPeripheralTargetID</t>
  </si>
  <si>
    <t>SkillGroupSkillTargetID</t>
  </si>
  <si>
    <t>ServiceSkillTargetID</t>
  </si>
  <si>
    <t>VRUType</t>
  </si>
  <si>
    <t>AgentSkillTargetID</t>
  </si>
  <si>
    <t>EventSelect</t>
  </si>
  <si>
    <t>ServiceType</t>
  </si>
  <si>
    <t>NetworkTransferEnabled</t>
  </si>
  <si>
    <t>long (1 byte used)</t>
  </si>
  <si>
    <t>Bool (1 byte used)</t>
  </si>
  <si>
    <t>RouteSelectState</t>
  </si>
  <si>
    <t>char[10]</t>
  </si>
  <si>
    <t>AgentInfo</t>
  </si>
  <si>
    <t>ApplicationString2</t>
  </si>
  <si>
    <t>RouteSelected</t>
  </si>
  <si>
    <t>VRUBillingData</t>
  </si>
  <si>
    <t>CustomerDBProvidedDigits</t>
  </si>
  <si>
    <t>10X48 String</t>
  </si>
  <si>
    <t>10X41 String</t>
  </si>
  <si>
    <t>PeripheralVar</t>
  </si>
  <si>
    <t>High</t>
  </si>
  <si>
    <t>Medium</t>
  </si>
  <si>
    <t>Low</t>
  </si>
  <si>
    <t>All</t>
  </si>
  <si>
    <t>CTRL_TABLE_UPDATE_IND (Smooth)</t>
  </si>
  <si>
    <t>DMP Acknowledgement (Smooth)</t>
  </si>
  <si>
    <t>TCP Acknowledgement Overhead (Smooth)</t>
  </si>
  <si>
    <t>Service Control (Smooth)</t>
  </si>
  <si>
    <t>Traffic Type</t>
  </si>
  <si>
    <t>CTRL_TABLE_UPDATE_HH_IND (Burst per 1800 seconds)</t>
  </si>
  <si>
    <t>CTRL_TABLE_UPDATE_SYNC_IND (Burst per 3600 seconds)</t>
  </si>
  <si>
    <t>Timer Notification Ind. &amp; RC Meters (Burst per 300 seconds)</t>
  </si>
  <si>
    <t>Heartbeat (Burst per 15 seconds)</t>
  </si>
  <si>
    <t>Total Mean Traffic Volume (bits per sec.)</t>
  </si>
  <si>
    <t>Traffic Volume Details …</t>
  </si>
  <si>
    <t>DMP Network Probe (Burst per 60 seconds)</t>
  </si>
  <si>
    <t>Call Rate (BHCA)</t>
  </si>
  <si>
    <t>Connect_V8 Message (CC to PG)</t>
  </si>
  <si>
    <t>Table</t>
  </si>
  <si>
    <t>Peripheral_Config_Tbl</t>
  </si>
  <si>
    <t># of Recs.</t>
  </si>
  <si>
    <t>Tbl Size</t>
  </si>
  <si>
    <t>Rec. Size</t>
  </si>
  <si>
    <t>Peripheral_HH_Tbl</t>
  </si>
  <si>
    <t>Service_HH_Tbl</t>
  </si>
  <si>
    <t>Number of Network Trunk Groups</t>
  </si>
  <si>
    <t>Number of Trunk Groups</t>
  </si>
  <si>
    <t>Number of Services</t>
  </si>
  <si>
    <t>ClosedCallRecord_V9 Message (PG to CC)</t>
  </si>
  <si>
    <t>VSTRING</t>
  </si>
  <si>
    <t>vDigitsDialed</t>
  </si>
  <si>
    <t>vPeripheralVar1~10</t>
  </si>
  <si>
    <t>vDNIS</t>
  </si>
  <si>
    <t>vUserToUser</t>
  </si>
  <si>
    <t>vANI</t>
  </si>
  <si>
    <t>vWrapupData</t>
  </si>
  <si>
    <t>vCED</t>
  </si>
  <si>
    <t>vApplicationData</t>
  </si>
  <si>
    <t>vAgentPeripheralNum</t>
  </si>
  <si>
    <t>vSourceAgentPeripheralNum</t>
  </si>
  <si>
    <t>vECC</t>
  </si>
  <si>
    <t>N/A</t>
  </si>
  <si>
    <t>Various Types</t>
  </si>
  <si>
    <t>PG-&gt;CC High Priority Traffic Vol. Per Flow (bits):</t>
  </si>
  <si>
    <t>PG&lt;-CC High Priority Traffic Vol. Per Flow (bits):</t>
  </si>
  <si>
    <t>PG-&gt;CC Low Priority Traffic Vol. Per Flow (bits):</t>
  </si>
  <si>
    <t>ClosedCallRecord_V9</t>
  </si>
  <si>
    <t>PG-&gt;CC Medium Priority Traffic Mean Volume (bits/sec):</t>
  </si>
  <si>
    <t>Call Rate …</t>
  </si>
  <si>
    <t>Protocol Header Overhead (in bytes) ...</t>
  </si>
  <si>
    <t>DMP &amp; EMT</t>
  </si>
  <si>
    <t>TCP</t>
  </si>
  <si>
    <t>IP</t>
  </si>
  <si>
    <t>Layer2</t>
  </si>
  <si>
    <t>PG to CC (High)</t>
  </si>
  <si>
    <t>PG to CC (Medium)</t>
  </si>
  <si>
    <t>PG to CC (Low)</t>
  </si>
  <si>
    <t>CC to PG (High)</t>
  </si>
  <si>
    <t>CC to PG (Medium)</t>
  </si>
  <si>
    <t>CC to PG (Low)</t>
  </si>
  <si>
    <t>Total Protocol Header Overhead</t>
  </si>
  <si>
    <t>TCP Acknowledgement Overhead …</t>
  </si>
  <si>
    <t xml:space="preserve">         to the volume of traffic from the other side.</t>
  </si>
  <si>
    <t>Various</t>
  </si>
  <si>
    <t>[Note: the unit is in bits per second for smooth traffic and bits for burst traffic]</t>
  </si>
  <si>
    <t>PG-&gt;CC Traffic Volume</t>
  </si>
  <si>
    <t>PG&lt;-CC Traffic Volume</t>
  </si>
  <si>
    <t>PG&lt;-&gt;CC Traffic Volume</t>
  </si>
  <si>
    <t>VRUQueueService_V1 Message (CC to PG)</t>
  </si>
  <si>
    <t>RouteCallKeySeq#</t>
  </si>
  <si>
    <t>SkillTargetID</t>
  </si>
  <si>
    <t>RoteID</t>
  </si>
  <si>
    <t>VRUQueueEvent_V1 Message (CC to PG)</t>
  </si>
  <si>
    <t>Info</t>
  </si>
  <si>
    <t>VRUQueueService_V1</t>
  </si>
  <si>
    <t>Route_Performance_HH_Tbl</t>
  </si>
  <si>
    <t>* FromCCHighPriorityTrafficVolume</t>
  </si>
  <si>
    <t>* FromCCMediumPriorityTrafficVolume</t>
  </si>
  <si>
    <t>* FromCCLowPriorityTrafficVolume</t>
  </si>
  <si>
    <t>* ToCCHighPriorityTrafficVolume</t>
  </si>
  <si>
    <t>* ToCCMediumPriorityTrafficVolume</t>
  </si>
  <si>
    <t>* ToCCLowPriorityTrafficVolume</t>
  </si>
  <si>
    <t>VRUQueueEvent_V1 (Queued)</t>
  </si>
  <si>
    <t>VRUQueueEvent_V1 (Routed)</t>
  </si>
  <si>
    <t>VRU Queue Service …</t>
  </si>
  <si>
    <t>Percentage of Calls Queued</t>
  </si>
  <si>
    <t>[Queue Service Flow]</t>
  </si>
  <si>
    <t>VRU Service Control Message Flow …</t>
  </si>
  <si>
    <t>CTRL_TABLE_UPDATE_HH_IND Flow ……</t>
  </si>
  <si>
    <t>MsgSize</t>
  </si>
  <si>
    <t>Period</t>
  </si>
  <si>
    <t>(bytes)</t>
  </si>
  <si>
    <t>(sec.)</t>
  </si>
  <si>
    <t>Trunk_Group_HH_Tbl</t>
  </si>
  <si>
    <t>Net_Trunk_Group_HH_Tbl</t>
  </si>
  <si>
    <t>PG-&gt;CC Low Priority Traffic Burst Volume (bits):</t>
  </si>
  <si>
    <t>PG-&gt;CC Low Priority Traffic Mean Volume (bits/sec):</t>
  </si>
  <si>
    <t>Number of Routes</t>
  </si>
  <si>
    <t>Timer Notification Ind. &amp; RC Meters ……</t>
  </si>
  <si>
    <t>TimerNotificationInd</t>
  </si>
  <si>
    <t>RCCallMeters_t</t>
  </si>
  <si>
    <t>PG&lt;-CC Low Priority Traffic Burst Volume (bits):</t>
  </si>
  <si>
    <t>Heartbeat ……</t>
  </si>
  <si>
    <t>HeartbeatInd</t>
  </si>
  <si>
    <t>PG-&gt;CC High Priority Traffic Burst Volume (bits):</t>
  </si>
  <si>
    <t>DMP Acknowledgement ……</t>
  </si>
  <si>
    <t># of Msgs to be acknowledged once</t>
  </si>
  <si>
    <t>struct dmp_ack</t>
  </si>
  <si>
    <t>PG&lt;-&gt;CC High Priority Traffic Burst Volume (bits):</t>
  </si>
  <si>
    <t>DMP Network Probe ……</t>
  </si>
  <si>
    <t>struct dmp_network_probe</t>
  </si>
  <si>
    <t>PG&lt;-&gt;CC High/Medium/Low Priority Traffic Burst Vol. (bits):</t>
  </si>
  <si>
    <t>CTRL_TABLE_UPDATE_IND Flow ……</t>
  </si>
  <si>
    <t>Route_Performance_Tbl</t>
  </si>
  <si>
    <t>Service_Tbl</t>
  </si>
  <si>
    <t>Trunk_Group_Tbl</t>
  </si>
  <si>
    <t>Net_Trunk_Group_Tbl</t>
  </si>
  <si>
    <t>Mean Traffic Volume Summary (in bits per sec.) …</t>
  </si>
  <si>
    <t>The minimum bandwidth requirement for a DMP channel is 1.5*(MeanVolume+AverageMsgLen/LatencyRequirement).</t>
  </si>
  <si>
    <t>Please refer to EDCS-184746 for a detailed mathematical derivation. The reason why using MeanVolume instead of</t>
  </si>
  <si>
    <t xml:space="preserve">Network administrators may have more experienced formulas to predicate bandwidth requirements given traffic </t>
  </si>
  <si>
    <t>Latency Requirements…</t>
  </si>
  <si>
    <t>DMP Priority</t>
  </si>
  <si>
    <t>Latency Requirements (ms)</t>
  </si>
  <si>
    <t>Average Message Length…</t>
  </si>
  <si>
    <t>Average Msg. Len. (bits)</t>
  </si>
  <si>
    <t>Recommended Minimum Bandwidth Requirements…</t>
  </si>
  <si>
    <t>Mean Bandwidth Req. (bps)</t>
  </si>
  <si>
    <t>Recommended Minimum Link Bandwidth (in bits per sec.) …</t>
  </si>
  <si>
    <t xml:space="preserve"> </t>
  </si>
  <si>
    <t xml:space="preserve">BurstVolume lies in that we assume the arrival process follows a Poisson process even though it may actually be not. </t>
  </si>
  <si>
    <t>characteristics, and their recommendation should be preferred over ours.</t>
  </si>
  <si>
    <t>Note: In our calculation, TCP non-piggybacked ack. overhead is simply assumed to be in proportion</t>
  </si>
  <si>
    <t xml:space="preserve">The mean traffic volume with respect to directions and DMP priorities is summarized as follows.  Refer to worksheet "Volume Details" for the </t>
  </si>
  <si>
    <t>volume of each type of traffic.</t>
  </si>
  <si>
    <t>The minimum link bandwidth requirements assuming link symmetry are shown below.</t>
  </si>
  <si>
    <t>Average Number of "RUN VRU" script nodes a call will execute</t>
  </si>
  <si>
    <t>Output</t>
  </si>
  <si>
    <t>QoS Recommendations</t>
  </si>
  <si>
    <t>Recommended Minimum AF31 Queue (H + M) =</t>
  </si>
  <si>
    <t>Recommended Minimum AF21 Queue (L) =</t>
  </si>
  <si>
    <t>This bandwidth does not include any other traffic that may be traversing this link</t>
  </si>
  <si>
    <t>Total BW</t>
  </si>
  <si>
    <t xml:space="preserve">Input </t>
  </si>
  <si>
    <t>Low Priority AF21</t>
  </si>
  <si>
    <t>High Priority AF31</t>
  </si>
  <si>
    <t>Medium Priority AF31</t>
  </si>
  <si>
    <t>Major Factors</t>
  </si>
  <si>
    <t>Average Total Number of All ECC Variables in Bytes (0-2000)</t>
  </si>
  <si>
    <t>Version 1.1</t>
  </si>
  <si>
    <t>VRU PG to CC Bandwidth Calculator</t>
  </si>
  <si>
    <t>User’s Manual</t>
  </si>
  <si>
    <t>Overview</t>
  </si>
  <si>
    <t>This spreadsheet/calculator is useful for PG to ICM CC deployment and ICM QoS bandwidth estimation and planning.</t>
  </si>
  <si>
    <t>The calculator includes an input section where the user inputs major traffic impacting factors and an output section, which will automatically display the recommended minimum Bandwidth requirement based on the input parameters.</t>
  </si>
  <si>
    <t>The minimum bandwidth requirements include overheads for protocol headers of TCP (20 bytes), IP (20 bytes), Layer 2 (18 bytes), DMP and EMT (12 bytes). It also includes TCP acknowledgement overhead, which is simply assumed to be in proportion to the volume of traffic from the other side. Note: The amount of TCP acknowledgment traffic is small compared to ICM traffic volume and does not have a major impact on bandwidth required.</t>
  </si>
  <si>
    <t>Most messages sent between the ICM CC and the PG has a variable length. The transmission size depends on the message contents. Since the content varies from time to time, we have to use the average (statistic) size. The default values used in this calculator have been carefully chosen to be generally realistic and based on lab tests but they cannot cover all cases. In the case of variables that would have a major impact on the traffic volume, such as Extended Call Variables (ECC) are used, average message length is left for user to specify in the input section (maximum size of all ECC variables should not exceed 2000 bytes). If no ECC variables are used, this field should be set to zero.</t>
  </si>
  <si>
    <t>Caveat</t>
  </si>
  <si>
    <t>The projected volume is a statistical estimate and the accuracy depends on the input of the major factors. Bandwidth requirements are derived based on a highly abstracted queuing model, which may not fit or match actual deployments. It is has however been validated with lab testing and traffic measurements for various configuration scenarios, but may not cover all cases. It is useful as a starting point, after which application traffic monitoring and management tools should be employed to further provision and fine tune bandwidth accordingly.</t>
  </si>
  <si>
    <t xml:space="preserve">Input — Major Factors </t>
  </si>
  <si>
    <t>Traffic volume depends on a many factors. Major factors, as the name suggests, have more impact on volume than others in a general sense but not always. An explanation of the Input of the following major factors are described below, Number of Peripherals (VRUs), Call Rate (BHCA), Percentage of calls queued, Average Number of "RUN VRU" script nodes a call will execute, and Average Number of All ECC Variables in Bytes (between 0-2000).</t>
  </si>
  <si>
    <r>
      <t xml:space="preserve">Number of Peripherals: </t>
    </r>
    <r>
      <rPr>
        <sz val="12"/>
        <rFont val="Times New Roman"/>
        <family val="1"/>
      </rPr>
      <t>In our case, a peripheral is one or more IP-IVRs, which receives calls routed by the ICM Central Controller. Check the number of peripherals for a PG through PG Explorer.</t>
    </r>
  </si>
  <si>
    <r>
      <t>Call Rate (BHCA):</t>
    </r>
    <r>
      <rPr>
        <sz val="12"/>
        <rFont val="Times New Roman"/>
        <family val="1"/>
      </rPr>
      <t xml:space="preserve"> Busy Hour Call Attempts. This is the total call rate for all peripherals under the control of the target PG.  The PG may support more than one IPIVR peripheral if needed. This call rate would be the sum total of all calls handled by the IP-IVRs under the control of ICM. Calls not routed by the ICM but handled by the IP-IVR should not be included in this number since no traffic will be generated between the PG and ICM CC for these calls.</t>
    </r>
  </si>
  <si>
    <r>
      <t>Percentage of Calls Queued:</t>
    </r>
    <r>
      <rPr>
        <sz val="12"/>
        <rFont val="Times New Roman"/>
        <family val="1"/>
      </rPr>
      <t xml:space="preserve"> is the number of calls getting queued divided by the number of calls arriving at the VRU PG.  This could be obtained using any call center (Erlang C) calculator output based on the “Service Level” goals desired and other call center resource requirements (agents, BHCA). In some cases, during heavy call volumes (higher than the average BHCA) or when resources (agents) are lower than required to handle the call load and service level, the percent of calls queued would shoot up quickly and could reach as high as 80%.</t>
    </r>
  </si>
  <si>
    <r>
      <t>Weighted average of number of "RUN VRU" script nodes that a call will execute</t>
    </r>
    <r>
      <rPr>
        <sz val="12"/>
        <rFont val="Times New Roman"/>
        <family val="1"/>
      </rPr>
      <t>:</t>
    </r>
  </si>
  <si>
    <t>Number of “RUN VRU” script nodes will vary per routing script based upon call type, number of "IF" nodes and number of Loop back to "Run VRU" nodes.  "IF" nodes are parallel paths and a call will execute only down one path. On the other hand, the looping capability within the routing script will allow a “RUN VRU” script node to execute multiple times for the same call.</t>
  </si>
  <si>
    <t>For example, if you have a configuration with three call types CT-1, CT-2 and CT-3, and the number of "Run VRU" nodes for each type is 1, 3, and 2 respectively, and the percent of calls handled by each call type is 70%, 10%, and 20% respectively, then the weighted average of "RUN VRU" scripts would be the sum of:</t>
  </si>
  <si>
    <t>1*.7 + 3*.1 + 2*.2 = 2</t>
  </si>
  <si>
    <r>
      <t>The “RUN VRU” node will generate a message flow of “</t>
    </r>
    <r>
      <rPr>
        <i/>
        <sz val="12"/>
        <rFont val="Times New Roman"/>
        <family val="1"/>
      </rPr>
      <t>RunScript</t>
    </r>
    <r>
      <rPr>
        <sz val="12"/>
        <rFont val="Times New Roman"/>
        <family val="1"/>
      </rPr>
      <t>” and “</t>
    </r>
    <r>
      <rPr>
        <i/>
        <sz val="12"/>
        <rFont val="Times New Roman"/>
        <family val="1"/>
      </rPr>
      <t>ScriptResponse</t>
    </r>
    <r>
      <rPr>
        <sz val="12"/>
        <rFont val="Times New Roman"/>
        <family val="1"/>
      </rPr>
      <t>” messages every time a node is executed as part of the “VRU Service Control Message Flow”.  It is assumed that a unique Queue Service pattern exists and the script follows a basic building block represented by this flow:</t>
    </r>
  </si>
  <si>
    <t>Queue Node -&gt; TransRoute to VRU/Send to VRU -&gt; Run VRU Script -&gt; select -&gt;</t>
  </si>
  <si>
    <t xml:space="preserve">CED -&gt; Queue to Skill Group(n) -&gt; Run VRU Script.  </t>
  </si>
  <si>
    <t>Average Total Number of All ECC Variables in Bytes (between 0-2000):</t>
  </si>
  <si>
    <t>This is the average number of bytes of the sum total of all ECC variables configured in the ICM database. This sum total cannot exceed the maximum of 2000 bytes. If no ECC variables are used, this field should be zero. All 10 Peripheral Variables are already accounted for in the calculator</t>
  </si>
  <si>
    <t>Output – Recommended Minimum Bandwidth Link Requirements</t>
  </si>
  <si>
    <t>In the Output section, the minimum link bandwidth requirements are shown. Bandwidth is broken out by priority and type with required QoS markings.</t>
  </si>
  <si>
    <t>Traffic volume is characterized as either “smooth traffic” or “burst traffic”. Smooth traffic exists all the time and is measured as bits per second. Burst traffic, on the other hand, is sent once within a long period. While the average amount of burst traffic is so small that we can omit it, the instant amount is at a considerable level. Burst traffic is measured in bits.</t>
  </si>
  <si>
    <t xml:space="preserve">The minimum bandwidth requirement for a Device Management Protocol (DMP) channel is calculated as 1.5 times the sum of the MeanVolume plus the BurstVolume normalized to per second basis based on the average message length and the latency requirement. </t>
  </si>
  <si>
    <t>The reason why using MeanVolume instead of BurstVolume lies in that we assume the arrival process follows a Poisson process even though this may not be the case. This is why it is important for network administrators use application traffic monitoring and management tools to further provision and fine-tune bandwidth accordingly.</t>
  </si>
  <si>
    <t xml:space="preserve">Message and data flows </t>
  </si>
  <si>
    <t>This calculator includes only those flows sent on a regular basis between the PG and ICM CC. Flows sent occasionally and are trivial in terms of bandwidth, were not included, since they do not impact the accuracy of the overall results.</t>
  </si>
  <si>
    <t>CTRL_TABLE_UPDATE_IND Flow</t>
  </si>
  <si>
    <t>The CC learns a Peripheral’s resource status periodically and optimally routes a call accordingly. CTRL_TABLE_UPDATE_IND flow sends real-time tables to the CC and keeps the CC updated about a Peripheral’s resource status. A real-time table contains the status change information of the corresponding resource. There are eight real-time tables,  each of which is sent in a separate CTRL_TABLE_UPDATE_IND message.</t>
  </si>
  <si>
    <t>CTRL_TABLE_UPDATE_SYNC_IND Flow</t>
  </si>
  <si>
    <t>CTRL_TABLE_UPDATE_SYNC_IND flow sends real-time tables to the CC, including all status traced by the Peripheral Data Service. The difference from CTRL_TABLE_UPDATE_IND flow is that the latter sends only status with changes over the last reporting period.</t>
  </si>
  <si>
    <t>CTRL_TABLE_UPDATE_HH_IND Flow</t>
  </si>
  <si>
    <t>This is known as Half Hour traffic. At the beginning of each 30 minutes, PG sends CC all Half-Hour tables of the past half an hour through CTRLR_TABLE_UPDATE_HH_IND messages.</t>
  </si>
  <si>
    <t>Timer Notification Ind. &amp; RC Meters</t>
  </si>
  <si>
    <t>Every five minutes, the CC sends TimerNotificationInd message to the PG for advancing its Half Hour time. In the mean time, the PG updates its own Half Hour timer in case the communication to the CC is disconnected. If a peripheral is configured as a routing client, TimerNotificationInd triggers its routing meters (RCCallMeters_t) being sent to the CC.</t>
  </si>
  <si>
    <t>Heartbeat</t>
  </si>
  <si>
    <t>Heartbeat is sent to the CC from the PG every 15 seconds in high priority.</t>
  </si>
  <si>
    <t>DMP Acknowledgement</t>
  </si>
  <si>
    <t>DMP generates an acknowledgement for every N (default to 10) messages it received from high priority queue and sends it over both links to the other side. This acknowledgement message includes a sequence number, which acknowledges preceding messages correctly arrived.</t>
  </si>
  <si>
    <t>DMP Network Probe</t>
  </si>
  <si>
    <t>DMP Network Probe messages are sent bidirectional at configurable intervals (default to 60 seconds). When a Network Probe message arrives, the receiver calculates the Round Trip Time of the corresponding priority queue by subtracting the enclosed timestamp from the current time.</t>
  </si>
  <si>
    <t>This calculator is for internal use only; It is Not to be given to Customers</t>
  </si>
  <si>
    <t>IPIVR PG to ICM CC Bandwidth Calculator</t>
  </si>
  <si>
    <t>The spreadsheet estimates the bandwidth requirements for each DMP (Device Management Protocol) priority level (High, Medium and Low) between IPIVR PG and ICM CC (Central Controller).</t>
  </si>
  <si>
    <t>Number of Peripherals (i.e. IPIVRs)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</si>
</sst>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s>
  <fonts count="24">
    <font>
      <sz val="10"/>
      <name val="Arial"/>
      <family val="0"/>
    </font>
    <font>
      <b/>
      <sz val="10"/>
      <name val="Arial"/>
      <family val="2"/>
    </font>
    <font>
      <b/>
      <i/>
      <sz val="12"/>
      <name val="Arial"/>
      <family val="2"/>
    </font>
    <font>
      <b/>
      <sz val="10"/>
      <color indexed="12"/>
      <name val="Arial"/>
      <family val="2"/>
    </font>
    <font>
      <sz val="12"/>
      <name val="Arial"/>
      <family val="2"/>
    </font>
    <font>
      <b/>
      <i/>
      <sz val="10"/>
      <name val="Arial"/>
      <family val="2"/>
    </font>
    <font>
      <i/>
      <sz val="10"/>
      <name val="Arial"/>
      <family val="2"/>
    </font>
    <font>
      <i/>
      <sz val="12"/>
      <name val="Arial"/>
      <family val="2"/>
    </font>
    <font>
      <b/>
      <sz val="10"/>
      <color indexed="39"/>
      <name val="Arial"/>
      <family val="2"/>
    </font>
    <font>
      <sz val="10"/>
      <color indexed="12"/>
      <name val="Arial"/>
      <family val="2"/>
    </font>
    <font>
      <i/>
      <sz val="12"/>
      <color indexed="12"/>
      <name val="Arial"/>
      <family val="2"/>
    </font>
    <font>
      <u val="single"/>
      <sz val="10"/>
      <color indexed="12"/>
      <name val="Arial"/>
      <family val="0"/>
    </font>
    <font>
      <u val="single"/>
      <sz val="10"/>
      <color indexed="36"/>
      <name val="Arial"/>
      <family val="0"/>
    </font>
    <font>
      <sz val="10"/>
      <name val="Tahoma"/>
      <family val="2"/>
    </font>
    <font>
      <b/>
      <i/>
      <sz val="12"/>
      <color indexed="12"/>
      <name val="Arial"/>
      <family val="2"/>
    </font>
    <font>
      <b/>
      <i/>
      <sz val="12"/>
      <color indexed="10"/>
      <name val="Arial"/>
      <family val="2"/>
    </font>
    <font>
      <b/>
      <sz val="12"/>
      <color indexed="12"/>
      <name val="Arial"/>
      <family val="2"/>
    </font>
    <font>
      <sz val="12"/>
      <name val="Times New Roman"/>
      <family val="1"/>
    </font>
    <font>
      <b/>
      <sz val="12"/>
      <name val="Times New Roman"/>
      <family val="1"/>
    </font>
    <font>
      <b/>
      <sz val="16"/>
      <name val="Times New Roman"/>
      <family val="1"/>
    </font>
    <font>
      <b/>
      <u val="single"/>
      <sz val="12"/>
      <name val="Times New Roman"/>
      <family val="1"/>
    </font>
    <font>
      <i/>
      <sz val="12"/>
      <name val="Times New Roman"/>
      <family val="1"/>
    </font>
    <font>
      <b/>
      <sz val="14"/>
      <color indexed="10"/>
      <name val="Times New Roman"/>
      <family val="1"/>
    </font>
    <font>
      <b/>
      <sz val="8"/>
      <name val="Arial"/>
      <family val="2"/>
    </font>
  </fonts>
  <fills count="1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9"/>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s>
  <borders count="67">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thick"/>
      <bottom style="medium"/>
    </border>
    <border>
      <left>
        <color indexed="63"/>
      </left>
      <right style="medium"/>
      <top style="thick"/>
      <bottom style="medium"/>
    </border>
    <border>
      <left>
        <color indexed="63"/>
      </left>
      <right>
        <color indexed="63"/>
      </right>
      <top>
        <color indexed="63"/>
      </top>
      <bottom style="thick"/>
    </border>
    <border>
      <left>
        <color indexed="63"/>
      </left>
      <right style="medium"/>
      <top>
        <color indexed="63"/>
      </top>
      <bottom style="thick"/>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color indexed="63"/>
      </top>
      <bottom style="thick"/>
    </border>
    <border>
      <left style="thin"/>
      <right style="thin"/>
      <top>
        <color indexed="63"/>
      </top>
      <bottom style="thick"/>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48">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1" xfId="0" applyFill="1" applyBorder="1" applyAlignment="1">
      <alignment horizontal="center"/>
    </xf>
    <xf numFmtId="0" fontId="0" fillId="2" borderId="9" xfId="0" applyFill="1" applyBorder="1" applyAlignment="1">
      <alignment/>
    </xf>
    <xf numFmtId="0" fontId="0" fillId="3" borderId="0" xfId="0" applyFill="1" applyAlignment="1">
      <alignment/>
    </xf>
    <xf numFmtId="0" fontId="0" fillId="3" borderId="1" xfId="0" applyFill="1" applyBorder="1" applyAlignment="1">
      <alignment/>
    </xf>
    <xf numFmtId="0" fontId="0" fillId="3" borderId="0" xfId="0" applyFill="1" applyBorder="1" applyAlignment="1">
      <alignment/>
    </xf>
    <xf numFmtId="0" fontId="0" fillId="3" borderId="1" xfId="0" applyFill="1" applyBorder="1" applyAlignment="1">
      <alignment horizontal="center"/>
    </xf>
    <xf numFmtId="0" fontId="0" fillId="3" borderId="3" xfId="0" applyFill="1" applyBorder="1" applyAlignment="1">
      <alignment/>
    </xf>
    <xf numFmtId="0" fontId="0" fillId="3" borderId="7" xfId="0" applyFill="1" applyBorder="1" applyAlignment="1">
      <alignment/>
    </xf>
    <xf numFmtId="0" fontId="0" fillId="4" borderId="0" xfId="0" applyFill="1" applyAlignment="1">
      <alignment/>
    </xf>
    <xf numFmtId="0" fontId="0" fillId="4" borderId="1" xfId="0" applyFill="1" applyBorder="1" applyAlignment="1">
      <alignment/>
    </xf>
    <xf numFmtId="0" fontId="0" fillId="4" borderId="0" xfId="0" applyFill="1" applyBorder="1" applyAlignment="1">
      <alignment/>
    </xf>
    <xf numFmtId="0" fontId="0" fillId="4" borderId="3" xfId="0" applyFill="1" applyBorder="1" applyAlignment="1">
      <alignment/>
    </xf>
    <xf numFmtId="0" fontId="0" fillId="4" borderId="7" xfId="0" applyFill="1" applyBorder="1" applyAlignment="1">
      <alignment/>
    </xf>
    <xf numFmtId="0" fontId="0" fillId="0" borderId="0" xfId="0" applyFont="1" applyAlignment="1">
      <alignment/>
    </xf>
    <xf numFmtId="0" fontId="2" fillId="0" borderId="0" xfId="0" applyFont="1" applyAlignment="1">
      <alignment/>
    </xf>
    <xf numFmtId="0" fontId="0" fillId="5" borderId="10" xfId="0" applyFill="1" applyBorder="1" applyAlignment="1">
      <alignment/>
    </xf>
    <xf numFmtId="0" fontId="0" fillId="5" borderId="0" xfId="0" applyFill="1" applyBorder="1" applyAlignment="1">
      <alignment/>
    </xf>
    <xf numFmtId="0" fontId="1" fillId="5" borderId="10" xfId="0" applyFont="1" applyFill="1" applyBorder="1" applyAlignment="1">
      <alignment/>
    </xf>
    <xf numFmtId="0" fontId="0" fillId="5" borderId="11" xfId="0" applyFill="1" applyBorder="1" applyAlignment="1">
      <alignment/>
    </xf>
    <xf numFmtId="0" fontId="0" fillId="0" borderId="0" xfId="0" applyBorder="1" applyAlignment="1">
      <alignment/>
    </xf>
    <xf numFmtId="0" fontId="0" fillId="5" borderId="12" xfId="0" applyFill="1" applyBorder="1" applyAlignment="1">
      <alignment/>
    </xf>
    <xf numFmtId="0" fontId="1" fillId="5" borderId="13" xfId="0" applyFont="1" applyFill="1" applyBorder="1" applyAlignment="1">
      <alignment horizontal="center"/>
    </xf>
    <xf numFmtId="0" fontId="1" fillId="5" borderId="14" xfId="0" applyFont="1" applyFill="1" applyBorder="1" applyAlignment="1">
      <alignment/>
    </xf>
    <xf numFmtId="0" fontId="0" fillId="5" borderId="15" xfId="0" applyFill="1" applyBorder="1" applyAlignment="1">
      <alignment/>
    </xf>
    <xf numFmtId="0" fontId="0" fillId="5" borderId="2" xfId="0" applyFill="1" applyBorder="1" applyAlignment="1">
      <alignment/>
    </xf>
    <xf numFmtId="0" fontId="0" fillId="5" borderId="16" xfId="0" applyFill="1" applyBorder="1" applyAlignment="1">
      <alignment/>
    </xf>
    <xf numFmtId="0" fontId="0" fillId="5" borderId="17" xfId="0" applyFill="1" applyBorder="1" applyAlignment="1">
      <alignment/>
    </xf>
    <xf numFmtId="0" fontId="1" fillId="5" borderId="18" xfId="0" applyFont="1" applyFill="1" applyBorder="1" applyAlignment="1">
      <alignment/>
    </xf>
    <xf numFmtId="0" fontId="1" fillId="6" borderId="19" xfId="0" applyFont="1" applyFill="1" applyBorder="1" applyAlignment="1">
      <alignment horizontal="center"/>
    </xf>
    <xf numFmtId="0" fontId="1" fillId="6" borderId="10" xfId="0" applyFont="1" applyFill="1" applyBorder="1" applyAlignment="1">
      <alignment horizontal="center"/>
    </xf>
    <xf numFmtId="0" fontId="1" fillId="6" borderId="10" xfId="0" applyFont="1" applyFill="1" applyBorder="1" applyAlignment="1">
      <alignment horizontal="center"/>
    </xf>
    <xf numFmtId="0" fontId="0" fillId="6" borderId="10" xfId="0" applyFill="1" applyBorder="1" applyAlignment="1">
      <alignment/>
    </xf>
    <xf numFmtId="0" fontId="0" fillId="6" borderId="20" xfId="0" applyFill="1" applyBorder="1" applyAlignment="1">
      <alignment/>
    </xf>
    <xf numFmtId="0" fontId="1" fillId="7" borderId="19" xfId="0" applyFont="1" applyFill="1" applyBorder="1" applyAlignment="1">
      <alignment horizontal="center"/>
    </xf>
    <xf numFmtId="0" fontId="1" fillId="7" borderId="10" xfId="0" applyFont="1" applyFill="1" applyBorder="1" applyAlignment="1">
      <alignment horizontal="center"/>
    </xf>
    <xf numFmtId="0" fontId="1" fillId="7" borderId="10" xfId="0" applyFont="1" applyFill="1" applyBorder="1" applyAlignment="1">
      <alignment horizontal="center"/>
    </xf>
    <xf numFmtId="0" fontId="0" fillId="7" borderId="10" xfId="0" applyFill="1" applyBorder="1" applyAlignment="1">
      <alignment/>
    </xf>
    <xf numFmtId="0" fontId="0" fillId="7" borderId="20" xfId="0" applyFill="1" applyBorder="1" applyAlignment="1">
      <alignment/>
    </xf>
    <xf numFmtId="0" fontId="1" fillId="8" borderId="19" xfId="0" applyFont="1" applyFill="1" applyBorder="1" applyAlignment="1">
      <alignment horizontal="center"/>
    </xf>
    <xf numFmtId="0" fontId="1" fillId="8" borderId="10" xfId="0" applyFont="1" applyFill="1" applyBorder="1" applyAlignment="1">
      <alignment horizontal="center"/>
    </xf>
    <xf numFmtId="0" fontId="1" fillId="8" borderId="10" xfId="0" applyFont="1" applyFill="1" applyBorder="1" applyAlignment="1">
      <alignment horizontal="center"/>
    </xf>
    <xf numFmtId="0" fontId="0" fillId="8" borderId="10" xfId="0" applyFill="1" applyBorder="1" applyAlignment="1">
      <alignment/>
    </xf>
    <xf numFmtId="0" fontId="0" fillId="8" borderId="20" xfId="0" applyFill="1" applyBorder="1" applyAlignment="1">
      <alignment/>
    </xf>
    <xf numFmtId="0" fontId="0" fillId="0" borderId="0" xfId="0"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0" xfId="0" applyNumberFormat="1" applyBorder="1" applyAlignment="1">
      <alignment/>
    </xf>
    <xf numFmtId="3" fontId="0" fillId="0" borderId="5" xfId="0" applyNumberFormat="1" applyBorder="1" applyAlignment="1">
      <alignment/>
    </xf>
    <xf numFmtId="0" fontId="0" fillId="4" borderId="21" xfId="0" applyFill="1" applyBorder="1" applyAlignment="1">
      <alignment horizontal="center"/>
    </xf>
    <xf numFmtId="0" fontId="0" fillId="4" borderId="22" xfId="0" applyFill="1" applyBorder="1" applyAlignment="1">
      <alignment horizontal="center"/>
    </xf>
    <xf numFmtId="0" fontId="0" fillId="2" borderId="10" xfId="0" applyFill="1" applyBorder="1" applyAlignment="1">
      <alignment/>
    </xf>
    <xf numFmtId="0" fontId="1" fillId="2" borderId="0" xfId="0" applyFont="1" applyFill="1" applyBorder="1" applyAlignment="1">
      <alignment/>
    </xf>
    <xf numFmtId="3" fontId="0" fillId="2" borderId="0" xfId="0" applyNumberFormat="1"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23" xfId="0" applyFill="1" applyBorder="1" applyAlignment="1">
      <alignment horizontal="center"/>
    </xf>
    <xf numFmtId="0" fontId="0" fillId="2" borderId="22" xfId="0" applyFill="1" applyBorder="1" applyAlignment="1">
      <alignment horizontal="center"/>
    </xf>
    <xf numFmtId="0" fontId="0" fillId="2" borderId="21" xfId="0" applyFill="1" applyBorder="1" applyAlignment="1">
      <alignment horizontal="center"/>
    </xf>
    <xf numFmtId="3" fontId="1" fillId="0" borderId="24" xfId="0" applyNumberFormat="1" applyFont="1" applyBorder="1" applyAlignment="1">
      <alignment/>
    </xf>
    <xf numFmtId="3" fontId="1" fillId="0" borderId="17" xfId="0" applyNumberFormat="1" applyFont="1" applyBorder="1" applyAlignment="1">
      <alignment/>
    </xf>
    <xf numFmtId="3" fontId="1" fillId="0" borderId="16" xfId="0" applyNumberFormat="1" applyFont="1" applyBorder="1" applyAlignment="1">
      <alignment/>
    </xf>
    <xf numFmtId="3" fontId="1" fillId="0" borderId="25" xfId="0" applyNumberFormat="1" applyFont="1" applyBorder="1" applyAlignment="1">
      <alignment/>
    </xf>
    <xf numFmtId="0" fontId="1" fillId="5" borderId="26" xfId="0" applyFont="1" applyFill="1" applyBorder="1" applyAlignment="1">
      <alignment horizontal="right"/>
    </xf>
    <xf numFmtId="0" fontId="1" fillId="5" borderId="27" xfId="0" applyFont="1" applyFill="1" applyBorder="1" applyAlignment="1">
      <alignment horizontal="right"/>
    </xf>
    <xf numFmtId="0" fontId="0" fillId="5" borderId="26" xfId="0" applyFill="1" applyBorder="1" applyAlignment="1">
      <alignment horizontal="right"/>
    </xf>
    <xf numFmtId="0" fontId="0" fillId="5" borderId="28" xfId="0" applyFill="1" applyBorder="1" applyAlignment="1">
      <alignment horizontal="right"/>
    </xf>
    <xf numFmtId="0" fontId="1" fillId="5" borderId="29" xfId="0" applyFont="1" applyFill="1" applyBorder="1" applyAlignment="1">
      <alignment horizontal="right"/>
    </xf>
    <xf numFmtId="0" fontId="0" fillId="0" borderId="5" xfId="0" applyBorder="1" applyAlignment="1">
      <alignment/>
    </xf>
    <xf numFmtId="0" fontId="0" fillId="0" borderId="0" xfId="0" applyFill="1" applyAlignment="1">
      <alignment/>
    </xf>
    <xf numFmtId="0" fontId="1" fillId="0" borderId="0" xfId="0" applyFont="1" applyFill="1" applyBorder="1" applyAlignment="1">
      <alignment/>
    </xf>
    <xf numFmtId="3" fontId="0" fillId="0" borderId="0" xfId="0" applyNumberFormat="1" applyFill="1" applyBorder="1" applyAlignment="1">
      <alignment horizontal="center"/>
    </xf>
    <xf numFmtId="0" fontId="2" fillId="3" borderId="0" xfId="0" applyFont="1" applyFill="1" applyAlignment="1">
      <alignment/>
    </xf>
    <xf numFmtId="0" fontId="6" fillId="3" borderId="0" xfId="0" applyFont="1" applyFill="1" applyAlignment="1">
      <alignment/>
    </xf>
    <xf numFmtId="0" fontId="1" fillId="3" borderId="30" xfId="0" applyFont="1" applyFill="1" applyBorder="1" applyAlignment="1">
      <alignment/>
    </xf>
    <xf numFmtId="0" fontId="1" fillId="3" borderId="19" xfId="0" applyFont="1" applyFill="1" applyBorder="1" applyAlignment="1">
      <alignment/>
    </xf>
    <xf numFmtId="0" fontId="1" fillId="3" borderId="10" xfId="0" applyFont="1" applyFill="1" applyBorder="1" applyAlignment="1">
      <alignment/>
    </xf>
    <xf numFmtId="0" fontId="1" fillId="3" borderId="31" xfId="0" applyFont="1" applyFill="1" applyBorder="1" applyAlignment="1">
      <alignment horizontal="center"/>
    </xf>
    <xf numFmtId="0" fontId="1" fillId="3" borderId="10" xfId="0" applyFont="1" applyFill="1" applyBorder="1" applyAlignment="1">
      <alignment horizontal="center"/>
    </xf>
    <xf numFmtId="0" fontId="1" fillId="3" borderId="32" xfId="0" applyFont="1" applyFill="1" applyBorder="1" applyAlignment="1">
      <alignment horizontal="center"/>
    </xf>
    <xf numFmtId="0" fontId="1" fillId="3" borderId="33" xfId="0" applyFont="1" applyFill="1" applyBorder="1" applyAlignment="1">
      <alignment/>
    </xf>
    <xf numFmtId="0" fontId="1" fillId="3" borderId="34" xfId="0" applyFont="1" applyFill="1" applyBorder="1" applyAlignment="1">
      <alignment/>
    </xf>
    <xf numFmtId="0" fontId="1" fillId="3" borderId="11" xfId="0" applyFont="1" applyFill="1" applyBorder="1" applyAlignment="1">
      <alignment/>
    </xf>
    <xf numFmtId="0" fontId="1" fillId="3" borderId="35" xfId="0" applyFont="1" applyFill="1" applyBorder="1" applyAlignment="1">
      <alignment horizontal="center"/>
    </xf>
    <xf numFmtId="0" fontId="1" fillId="3" borderId="11" xfId="0" applyFont="1" applyFill="1" applyBorder="1" applyAlignment="1">
      <alignment horizontal="center"/>
    </xf>
    <xf numFmtId="0" fontId="1" fillId="3" borderId="36" xfId="0" applyFont="1" applyFill="1" applyBorder="1" applyAlignment="1">
      <alignment horizontal="center"/>
    </xf>
    <xf numFmtId="3" fontId="0" fillId="3" borderId="0" xfId="0" applyNumberFormat="1" applyFont="1" applyFill="1" applyBorder="1" applyAlignment="1">
      <alignment horizontal="center"/>
    </xf>
    <xf numFmtId="3" fontId="0" fillId="3" borderId="21" xfId="0" applyNumberFormat="1" applyFont="1" applyFill="1" applyBorder="1" applyAlignment="1">
      <alignment horizontal="center"/>
    </xf>
    <xf numFmtId="3" fontId="0" fillId="3" borderId="37" xfId="0" applyNumberFormat="1" applyFont="1" applyFill="1" applyBorder="1" applyAlignment="1">
      <alignment horizontal="center"/>
    </xf>
    <xf numFmtId="0" fontId="0" fillId="3" borderId="38" xfId="0" applyFill="1" applyBorder="1" applyAlignment="1">
      <alignment/>
    </xf>
    <xf numFmtId="3" fontId="0" fillId="3" borderId="0" xfId="0" applyNumberFormat="1" applyFill="1" applyBorder="1" applyAlignment="1">
      <alignment horizontal="center"/>
    </xf>
    <xf numFmtId="3" fontId="0" fillId="3" borderId="21" xfId="0" applyNumberFormat="1" applyFill="1" applyBorder="1" applyAlignment="1">
      <alignment horizontal="center"/>
    </xf>
    <xf numFmtId="0" fontId="0" fillId="3" borderId="39" xfId="0" applyFill="1" applyBorder="1" applyAlignment="1">
      <alignment/>
    </xf>
    <xf numFmtId="0" fontId="0" fillId="3" borderId="40" xfId="0" applyFill="1" applyBorder="1" applyAlignment="1">
      <alignment horizontal="right"/>
    </xf>
    <xf numFmtId="0" fontId="1" fillId="3" borderId="0" xfId="0" applyFont="1" applyFill="1" applyBorder="1" applyAlignment="1">
      <alignment/>
    </xf>
    <xf numFmtId="0" fontId="2" fillId="2" borderId="0" xfId="0" applyFont="1" applyFill="1" applyAlignment="1">
      <alignment/>
    </xf>
    <xf numFmtId="0" fontId="1" fillId="2" borderId="13" xfId="0" applyFont="1" applyFill="1" applyBorder="1" applyAlignment="1">
      <alignment horizontal="center"/>
    </xf>
    <xf numFmtId="0" fontId="1" fillId="2" borderId="19" xfId="0" applyFont="1" applyFill="1" applyBorder="1" applyAlignment="1">
      <alignment horizontal="center"/>
    </xf>
    <xf numFmtId="0" fontId="1" fillId="2" borderId="10" xfId="0" applyFont="1" applyFill="1" applyBorder="1" applyAlignment="1">
      <alignment horizontal="center"/>
    </xf>
    <xf numFmtId="0" fontId="1" fillId="2" borderId="41" xfId="0" applyFont="1" applyFill="1" applyBorder="1" applyAlignment="1">
      <alignment horizontal="center"/>
    </xf>
    <xf numFmtId="0" fontId="1" fillId="2" borderId="31" xfId="0" applyFont="1" applyFill="1" applyBorder="1" applyAlignment="1">
      <alignment horizontal="center"/>
    </xf>
    <xf numFmtId="0" fontId="1" fillId="2" borderId="20" xfId="0" applyFont="1" applyFill="1" applyBorder="1" applyAlignment="1">
      <alignment horizontal="center"/>
    </xf>
    <xf numFmtId="0" fontId="1" fillId="2" borderId="14" xfId="0" applyFont="1" applyFill="1" applyBorder="1" applyAlignment="1">
      <alignment horizontal="center"/>
    </xf>
    <xf numFmtId="0" fontId="1" fillId="2" borderId="34" xfId="0" applyFont="1" applyFill="1" applyBorder="1" applyAlignment="1">
      <alignment horizontal="center"/>
    </xf>
    <xf numFmtId="0" fontId="1" fillId="2" borderId="11" xfId="0" applyFont="1" applyFill="1" applyBorder="1" applyAlignment="1">
      <alignment horizontal="center"/>
    </xf>
    <xf numFmtId="0" fontId="1" fillId="2" borderId="42" xfId="0" applyFont="1" applyFill="1" applyBorder="1" applyAlignment="1">
      <alignment horizontal="center"/>
    </xf>
    <xf numFmtId="0" fontId="0" fillId="2" borderId="35" xfId="0" applyFill="1" applyBorder="1" applyAlignment="1">
      <alignment horizontal="center"/>
    </xf>
    <xf numFmtId="0" fontId="1" fillId="2" borderId="35" xfId="0" applyFont="1" applyFill="1" applyBorder="1" applyAlignment="1">
      <alignment horizontal="center"/>
    </xf>
    <xf numFmtId="0" fontId="1" fillId="2" borderId="43" xfId="0" applyFont="1" applyFill="1" applyBorder="1" applyAlignment="1">
      <alignment horizontal="center"/>
    </xf>
    <xf numFmtId="3" fontId="0" fillId="2" borderId="0" xfId="0" applyNumberFormat="1" applyFill="1" applyAlignment="1">
      <alignment horizontal="center"/>
    </xf>
    <xf numFmtId="0" fontId="1" fillId="2" borderId="19" xfId="0" applyFont="1" applyFill="1" applyBorder="1" applyAlignment="1">
      <alignment horizontal="left"/>
    </xf>
    <xf numFmtId="0" fontId="0" fillId="2" borderId="20" xfId="0" applyFill="1" applyBorder="1" applyAlignment="1">
      <alignment/>
    </xf>
    <xf numFmtId="0" fontId="0" fillId="2" borderId="11" xfId="0" applyFill="1" applyBorder="1" applyAlignment="1">
      <alignment/>
    </xf>
    <xf numFmtId="0" fontId="0" fillId="2" borderId="43" xfId="0" applyFill="1" applyBorder="1" applyAlignment="1">
      <alignment/>
    </xf>
    <xf numFmtId="3" fontId="0" fillId="3" borderId="0" xfId="0" applyNumberFormat="1" applyFill="1" applyAlignment="1">
      <alignment horizontal="center"/>
    </xf>
    <xf numFmtId="0" fontId="2" fillId="4" borderId="0" xfId="0" applyFont="1" applyFill="1" applyBorder="1" applyAlignment="1">
      <alignment/>
    </xf>
    <xf numFmtId="0" fontId="7" fillId="4" borderId="0" xfId="0" applyFont="1" applyFill="1" applyBorder="1" applyAlignment="1">
      <alignment/>
    </xf>
    <xf numFmtId="3" fontId="0" fillId="4" borderId="0" xfId="0" applyNumberFormat="1" applyFill="1" applyBorder="1" applyAlignment="1">
      <alignment horizontal="center"/>
    </xf>
    <xf numFmtId="0" fontId="1" fillId="4" borderId="30" xfId="0" applyFont="1" applyFill="1" applyBorder="1" applyAlignment="1">
      <alignment/>
    </xf>
    <xf numFmtId="0" fontId="1" fillId="4" borderId="19" xfId="0" applyFont="1" applyFill="1" applyBorder="1" applyAlignment="1">
      <alignment/>
    </xf>
    <xf numFmtId="0" fontId="1" fillId="4" borderId="10" xfId="0" applyFont="1" applyFill="1" applyBorder="1" applyAlignment="1">
      <alignment/>
    </xf>
    <xf numFmtId="0" fontId="1" fillId="4" borderId="31" xfId="0" applyFont="1" applyFill="1" applyBorder="1" applyAlignment="1">
      <alignment horizontal="center"/>
    </xf>
    <xf numFmtId="0" fontId="1" fillId="4" borderId="10" xfId="0" applyFont="1" applyFill="1" applyBorder="1" applyAlignment="1">
      <alignment horizontal="center"/>
    </xf>
    <xf numFmtId="0" fontId="1" fillId="4" borderId="32" xfId="0" applyFont="1" applyFill="1" applyBorder="1" applyAlignment="1">
      <alignment horizontal="center"/>
    </xf>
    <xf numFmtId="0" fontId="1" fillId="4" borderId="33" xfId="0" applyFont="1" applyFill="1" applyBorder="1" applyAlignment="1">
      <alignment/>
    </xf>
    <xf numFmtId="0" fontId="1" fillId="4" borderId="34" xfId="0" applyFont="1" applyFill="1" applyBorder="1" applyAlignment="1">
      <alignment/>
    </xf>
    <xf numFmtId="0" fontId="1" fillId="4" borderId="11" xfId="0" applyFont="1" applyFill="1" applyBorder="1" applyAlignment="1">
      <alignment/>
    </xf>
    <xf numFmtId="0" fontId="1" fillId="4" borderId="35" xfId="0" applyFont="1" applyFill="1" applyBorder="1" applyAlignment="1">
      <alignment horizontal="center"/>
    </xf>
    <xf numFmtId="0" fontId="1" fillId="4" borderId="11" xfId="0" applyFont="1" applyFill="1" applyBorder="1" applyAlignment="1">
      <alignment horizontal="center"/>
    </xf>
    <xf numFmtId="0" fontId="1" fillId="4" borderId="36" xfId="0" applyFont="1" applyFill="1" applyBorder="1" applyAlignment="1">
      <alignment horizontal="center"/>
    </xf>
    <xf numFmtId="3" fontId="0" fillId="4" borderId="0" xfId="0" applyNumberFormat="1" applyFont="1" applyFill="1" applyBorder="1" applyAlignment="1">
      <alignment horizontal="center"/>
    </xf>
    <xf numFmtId="3" fontId="0" fillId="4" borderId="21" xfId="0" applyNumberFormat="1" applyFont="1" applyFill="1" applyBorder="1" applyAlignment="1">
      <alignment horizontal="center"/>
    </xf>
    <xf numFmtId="0" fontId="0" fillId="4" borderId="38" xfId="0" applyFill="1" applyBorder="1" applyAlignment="1">
      <alignment/>
    </xf>
    <xf numFmtId="3" fontId="0" fillId="4" borderId="21" xfId="0" applyNumberFormat="1" applyFill="1" applyBorder="1" applyAlignment="1">
      <alignment horizontal="center"/>
    </xf>
    <xf numFmtId="3" fontId="0" fillId="4" borderId="37" xfId="0" applyNumberFormat="1" applyFill="1" applyBorder="1" applyAlignment="1">
      <alignment horizontal="center"/>
    </xf>
    <xf numFmtId="3" fontId="0" fillId="0" borderId="0" xfId="0" applyNumberFormat="1" applyAlignment="1">
      <alignment/>
    </xf>
    <xf numFmtId="0" fontId="0" fillId="4" borderId="39" xfId="0" applyFill="1" applyBorder="1" applyAlignment="1">
      <alignment/>
    </xf>
    <xf numFmtId="3" fontId="0" fillId="4" borderId="1" xfId="0" applyNumberFormat="1" applyFill="1" applyBorder="1" applyAlignment="1">
      <alignment horizontal="center"/>
    </xf>
    <xf numFmtId="3" fontId="0" fillId="4" borderId="22" xfId="0" applyNumberFormat="1" applyFill="1" applyBorder="1" applyAlignment="1">
      <alignment horizontal="center"/>
    </xf>
    <xf numFmtId="3" fontId="0" fillId="4" borderId="40" xfId="0" applyNumberFormat="1" applyFill="1" applyBorder="1" applyAlignment="1">
      <alignment horizontal="center"/>
    </xf>
    <xf numFmtId="0" fontId="0" fillId="4" borderId="10" xfId="0" applyFill="1" applyBorder="1" applyAlignment="1">
      <alignment/>
    </xf>
    <xf numFmtId="3" fontId="0" fillId="4" borderId="10" xfId="0" applyNumberFormat="1" applyFill="1" applyBorder="1" applyAlignment="1">
      <alignment horizontal="center"/>
    </xf>
    <xf numFmtId="0" fontId="7" fillId="3" borderId="0" xfId="0" applyFont="1" applyFill="1" applyAlignment="1">
      <alignment/>
    </xf>
    <xf numFmtId="0" fontId="4" fillId="0" borderId="0" xfId="0" applyFont="1" applyAlignment="1">
      <alignment/>
    </xf>
    <xf numFmtId="0" fontId="2" fillId="0" borderId="0" xfId="0" applyFont="1" applyAlignment="1">
      <alignment/>
    </xf>
    <xf numFmtId="0" fontId="1" fillId="5" borderId="44" xfId="0" applyFont="1" applyFill="1" applyBorder="1" applyAlignment="1">
      <alignment/>
    </xf>
    <xf numFmtId="0" fontId="1" fillId="5" borderId="45" xfId="0" applyFont="1" applyFill="1" applyBorder="1" applyAlignment="1">
      <alignment/>
    </xf>
    <xf numFmtId="0" fontId="1" fillId="0" borderId="0" xfId="0" applyFont="1" applyBorder="1" applyAlignment="1">
      <alignment/>
    </xf>
    <xf numFmtId="3" fontId="8" fillId="0" borderId="0" xfId="0" applyNumberFormat="1" applyFont="1" applyBorder="1" applyAlignment="1">
      <alignment/>
    </xf>
    <xf numFmtId="0" fontId="1" fillId="0" borderId="46" xfId="0" applyFont="1" applyBorder="1" applyAlignment="1">
      <alignment/>
    </xf>
    <xf numFmtId="0" fontId="0" fillId="0" borderId="47" xfId="0" applyBorder="1" applyAlignment="1">
      <alignment/>
    </xf>
    <xf numFmtId="0" fontId="0" fillId="0" borderId="46" xfId="0" applyBorder="1" applyAlignment="1">
      <alignment/>
    </xf>
    <xf numFmtId="3" fontId="8" fillId="0" borderId="46" xfId="0" applyNumberFormat="1" applyFont="1" applyBorder="1" applyAlignment="1">
      <alignment/>
    </xf>
    <xf numFmtId="0" fontId="0" fillId="5" borderId="48" xfId="0" applyFill="1" applyBorder="1" applyAlignment="1">
      <alignment/>
    </xf>
    <xf numFmtId="0" fontId="0" fillId="5" borderId="49" xfId="0" applyFill="1" applyBorder="1" applyAlignment="1">
      <alignment/>
    </xf>
    <xf numFmtId="0" fontId="1" fillId="5" borderId="50" xfId="0" applyFont="1" applyFill="1" applyBorder="1" applyAlignment="1">
      <alignment horizontal="right"/>
    </xf>
    <xf numFmtId="0" fontId="1" fillId="5" borderId="51" xfId="0" applyFont="1" applyFill="1" applyBorder="1" applyAlignment="1">
      <alignment/>
    </xf>
    <xf numFmtId="0" fontId="1" fillId="5" borderId="52" xfId="0" applyFont="1" applyFill="1" applyBorder="1" applyAlignment="1">
      <alignment/>
    </xf>
    <xf numFmtId="0" fontId="1" fillId="5" borderId="51" xfId="0" applyFont="1" applyFill="1" applyBorder="1" applyAlignment="1">
      <alignment horizontal="right"/>
    </xf>
    <xf numFmtId="0" fontId="0" fillId="5" borderId="1" xfId="0" applyFill="1" applyBorder="1" applyAlignment="1">
      <alignment/>
    </xf>
    <xf numFmtId="0" fontId="0" fillId="5" borderId="9" xfId="0" applyFill="1" applyBorder="1" applyAlignment="1">
      <alignment/>
    </xf>
    <xf numFmtId="0" fontId="1" fillId="5" borderId="6" xfId="0" applyFont="1" applyFill="1" applyBorder="1" applyAlignment="1">
      <alignment horizontal="center"/>
    </xf>
    <xf numFmtId="0" fontId="1" fillId="5" borderId="22" xfId="0" applyFont="1" applyFill="1" applyBorder="1" applyAlignment="1">
      <alignment horizontal="center"/>
    </xf>
    <xf numFmtId="0" fontId="1" fillId="5" borderId="9" xfId="0" applyFont="1" applyFill="1" applyBorder="1" applyAlignment="1">
      <alignment horizontal="center"/>
    </xf>
    <xf numFmtId="0" fontId="1" fillId="5" borderId="1" xfId="0" applyFont="1" applyFill="1" applyBorder="1" applyAlignment="1">
      <alignment horizontal="center"/>
    </xf>
    <xf numFmtId="0" fontId="1" fillId="5" borderId="46" xfId="0" applyFont="1" applyFill="1" applyBorder="1" applyAlignment="1">
      <alignment/>
    </xf>
    <xf numFmtId="0" fontId="1" fillId="5" borderId="47" xfId="0" applyFont="1" applyFill="1" applyBorder="1" applyAlignment="1">
      <alignment/>
    </xf>
    <xf numFmtId="3" fontId="8" fillId="0" borderId="53" xfId="0" applyNumberFormat="1" applyFont="1" applyBorder="1" applyAlignment="1">
      <alignment horizontal="right"/>
    </xf>
    <xf numFmtId="3" fontId="8" fillId="0" borderId="54" xfId="0" applyNumberFormat="1" applyFont="1" applyBorder="1" applyAlignment="1">
      <alignment horizontal="right"/>
    </xf>
    <xf numFmtId="3" fontId="8" fillId="0" borderId="47" xfId="0" applyNumberFormat="1" applyFont="1" applyBorder="1" applyAlignment="1">
      <alignment horizontal="right"/>
    </xf>
    <xf numFmtId="3" fontId="8" fillId="0" borderId="46" xfId="0" applyNumberFormat="1" applyFont="1" applyBorder="1" applyAlignment="1">
      <alignment horizontal="right"/>
    </xf>
    <xf numFmtId="0" fontId="0" fillId="0" borderId="0" xfId="0" applyBorder="1" applyAlignment="1" applyProtection="1">
      <alignment/>
      <protection/>
    </xf>
    <xf numFmtId="0" fontId="0" fillId="3" borderId="0" xfId="0" applyFill="1" applyBorder="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0" fillId="3" borderId="3" xfId="0" applyFill="1" applyBorder="1" applyAlignment="1" applyProtection="1">
      <alignment/>
      <protection/>
    </xf>
    <xf numFmtId="0" fontId="0" fillId="3" borderId="4" xfId="0" applyFill="1" applyBorder="1" applyAlignment="1" applyProtection="1">
      <alignment/>
      <protection/>
    </xf>
    <xf numFmtId="0" fontId="0" fillId="0" borderId="0" xfId="0" applyAlignment="1" applyProtection="1">
      <alignment/>
      <protection/>
    </xf>
    <xf numFmtId="0" fontId="1" fillId="4" borderId="27" xfId="0" applyFont="1" applyFill="1" applyBorder="1" applyAlignment="1" applyProtection="1">
      <alignment horizontal="center"/>
      <protection locked="0"/>
    </xf>
    <xf numFmtId="0" fontId="0" fillId="4" borderId="0" xfId="0" applyFill="1" applyBorder="1" applyAlignment="1" applyProtection="1">
      <alignment/>
      <protection/>
    </xf>
    <xf numFmtId="0" fontId="1" fillId="4" borderId="4" xfId="0" applyFont="1" applyFill="1" applyBorder="1" applyAlignment="1" applyProtection="1">
      <alignment horizontal="center"/>
      <protection locked="0"/>
    </xf>
    <xf numFmtId="0" fontId="0" fillId="4" borderId="3" xfId="0" applyFill="1" applyBorder="1" applyAlignment="1" applyProtection="1">
      <alignment/>
      <protection/>
    </xf>
    <xf numFmtId="0" fontId="0" fillId="4" borderId="4" xfId="0" applyFill="1" applyBorder="1" applyAlignment="1" applyProtection="1">
      <alignment horizontal="center"/>
      <protection locked="0"/>
    </xf>
    <xf numFmtId="3" fontId="3" fillId="4" borderId="4" xfId="0" applyNumberFormat="1" applyFont="1" applyFill="1" applyBorder="1" applyAlignment="1" applyProtection="1">
      <alignment horizontal="center"/>
      <protection locked="0"/>
    </xf>
    <xf numFmtId="9" fontId="1" fillId="4" borderId="27" xfId="0" applyNumberFormat="1" applyFont="1" applyFill="1" applyBorder="1" applyAlignment="1" applyProtection="1">
      <alignment horizontal="center"/>
      <protection locked="0"/>
    </xf>
    <xf numFmtId="1" fontId="1" fillId="4" borderId="27" xfId="0" applyNumberFormat="1" applyFont="1" applyFill="1" applyBorder="1" applyAlignment="1" applyProtection="1">
      <alignment horizontal="center"/>
      <protection locked="0"/>
    </xf>
    <xf numFmtId="0" fontId="1" fillId="4" borderId="27" xfId="15" applyNumberFormat="1" applyFont="1" applyFill="1" applyBorder="1" applyAlignment="1" applyProtection="1">
      <alignment horizontal="center"/>
      <protection locked="0"/>
    </xf>
    <xf numFmtId="0" fontId="9" fillId="0" borderId="0" xfId="0" applyFont="1" applyFill="1" applyAlignment="1" applyProtection="1">
      <alignment/>
      <protection hidden="1"/>
    </xf>
    <xf numFmtId="0" fontId="2" fillId="0" borderId="0" xfId="0" applyFont="1" applyFill="1" applyAlignment="1" applyProtection="1">
      <alignment/>
      <protection hidden="1"/>
    </xf>
    <xf numFmtId="0" fontId="15" fillId="0" borderId="0" xfId="0" applyFont="1" applyBorder="1" applyAlignment="1" applyProtection="1">
      <alignment/>
      <protection hidden="1"/>
    </xf>
    <xf numFmtId="0" fontId="0" fillId="0" borderId="0" xfId="0" applyAlignment="1" applyProtection="1">
      <alignment/>
      <protection hidden="1"/>
    </xf>
    <xf numFmtId="0" fontId="1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Border="1" applyAlignment="1" applyProtection="1">
      <alignment/>
      <protection hidden="1"/>
    </xf>
    <xf numFmtId="0" fontId="1" fillId="4" borderId="26" xfId="0" applyFont="1" applyFill="1" applyBorder="1" applyAlignment="1" applyProtection="1">
      <alignment/>
      <protection hidden="1"/>
    </xf>
    <xf numFmtId="0" fontId="0" fillId="4" borderId="28" xfId="0" applyFont="1" applyFill="1" applyBorder="1" applyAlignment="1" applyProtection="1">
      <alignment/>
      <protection hidden="1"/>
    </xf>
    <xf numFmtId="0" fontId="0" fillId="4" borderId="28" xfId="0" applyFill="1" applyBorder="1" applyAlignment="1" applyProtection="1">
      <alignment/>
      <protection hidden="1"/>
    </xf>
    <xf numFmtId="0" fontId="0" fillId="4" borderId="3" xfId="0"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ill="1" applyBorder="1" applyAlignment="1" applyProtection="1">
      <alignment/>
      <protection hidden="1"/>
    </xf>
    <xf numFmtId="0" fontId="0" fillId="4" borderId="3" xfId="0" applyFill="1" applyBorder="1" applyAlignment="1" applyProtection="1">
      <alignment/>
      <protection hidden="1"/>
    </xf>
    <xf numFmtId="0" fontId="2" fillId="4" borderId="3" xfId="0" applyFont="1" applyFill="1" applyBorder="1" applyAlignment="1" applyProtection="1">
      <alignment/>
      <protection hidden="1"/>
    </xf>
    <xf numFmtId="0" fontId="1" fillId="4" borderId="3" xfId="0" applyFont="1" applyFill="1" applyBorder="1" applyAlignment="1" applyProtection="1">
      <alignment/>
      <protection hidden="1"/>
    </xf>
    <xf numFmtId="0" fontId="1" fillId="0" borderId="0" xfId="0" applyFont="1" applyFill="1" applyAlignment="1" applyProtection="1">
      <alignment/>
      <protection hidden="1"/>
    </xf>
    <xf numFmtId="0" fontId="0" fillId="0" borderId="0" xfId="0" applyFill="1" applyAlignment="1" applyProtection="1">
      <alignment/>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0" fillId="3" borderId="38" xfId="0" applyFont="1" applyFill="1" applyBorder="1" applyAlignment="1" applyProtection="1">
      <alignment/>
      <protection hidden="1"/>
    </xf>
    <xf numFmtId="0" fontId="0" fillId="3" borderId="3" xfId="0" applyFont="1" applyFill="1" applyBorder="1" applyAlignment="1" applyProtection="1">
      <alignment/>
      <protection hidden="1"/>
    </xf>
    <xf numFmtId="0" fontId="0" fillId="3" borderId="0" xfId="0" applyFont="1" applyFill="1" applyBorder="1" applyAlignment="1" applyProtection="1">
      <alignment/>
      <protection hidden="1"/>
    </xf>
    <xf numFmtId="0" fontId="0" fillId="3" borderId="4" xfId="0" applyFont="1" applyFill="1" applyBorder="1" applyAlignment="1" applyProtection="1">
      <alignment/>
      <protection hidden="1"/>
    </xf>
    <xf numFmtId="0" fontId="0" fillId="3" borderId="21" xfId="0" applyFont="1" applyFill="1" applyBorder="1" applyAlignment="1" applyProtection="1">
      <alignment horizontal="center"/>
      <protection hidden="1"/>
    </xf>
    <xf numFmtId="0" fontId="0" fillId="3" borderId="38" xfId="0" applyFill="1" applyBorder="1" applyAlignment="1" applyProtection="1">
      <alignment/>
      <protection hidden="1"/>
    </xf>
    <xf numFmtId="0" fontId="0" fillId="3" borderId="3" xfId="0" applyFill="1" applyBorder="1" applyAlignment="1" applyProtection="1">
      <alignment/>
      <protection hidden="1"/>
    </xf>
    <xf numFmtId="0" fontId="0" fillId="3" borderId="0" xfId="0" applyFill="1" applyBorder="1" applyAlignment="1" applyProtection="1">
      <alignment/>
      <protection hidden="1"/>
    </xf>
    <xf numFmtId="0" fontId="0" fillId="3" borderId="4" xfId="0" applyFill="1" applyBorder="1" applyAlignment="1" applyProtection="1">
      <alignment/>
      <protection hidden="1"/>
    </xf>
    <xf numFmtId="0" fontId="0" fillId="3" borderId="21" xfId="0" applyFill="1" applyBorder="1" applyAlignment="1" applyProtection="1">
      <alignment horizontal="center"/>
      <protection hidden="1"/>
    </xf>
    <xf numFmtId="0" fontId="0" fillId="0" borderId="38" xfId="0" applyFill="1" applyBorder="1" applyAlignment="1" applyProtection="1">
      <alignment/>
      <protection hidden="1"/>
    </xf>
    <xf numFmtId="0" fontId="0" fillId="0" borderId="3" xfId="0" applyFill="1" applyBorder="1" applyAlignment="1" applyProtection="1">
      <alignment/>
      <protection hidden="1"/>
    </xf>
    <xf numFmtId="0" fontId="0" fillId="0" borderId="0" xfId="0" applyFill="1" applyBorder="1" applyAlignment="1" applyProtection="1">
      <alignment/>
      <protection hidden="1"/>
    </xf>
    <xf numFmtId="0" fontId="0" fillId="0" borderId="4" xfId="0" applyFill="1" applyBorder="1" applyAlignment="1" applyProtection="1">
      <alignment/>
      <protection hidden="1"/>
    </xf>
    <xf numFmtId="0" fontId="0" fillId="0" borderId="21" xfId="0" applyFill="1" applyBorder="1" applyAlignment="1" applyProtection="1">
      <alignment horizontal="center"/>
      <protection hidden="1"/>
    </xf>
    <xf numFmtId="0" fontId="5" fillId="0" borderId="38" xfId="0" applyFont="1" applyFill="1" applyBorder="1" applyAlignment="1" applyProtection="1">
      <alignment/>
      <protection hidden="1"/>
    </xf>
    <xf numFmtId="0" fontId="5" fillId="0" borderId="3" xfId="0" applyFont="1" applyFill="1" applyBorder="1" applyAlignment="1" applyProtection="1">
      <alignment/>
      <protection hidden="1"/>
    </xf>
    <xf numFmtId="0" fontId="6" fillId="0" borderId="0" xfId="0" applyFont="1" applyFill="1" applyBorder="1" applyAlignment="1" applyProtection="1">
      <alignment/>
      <protection hidden="1"/>
    </xf>
    <xf numFmtId="0" fontId="0" fillId="0" borderId="0" xfId="0" applyFill="1" applyBorder="1" applyAlignment="1" applyProtection="1">
      <alignment horizontal="center"/>
      <protection hidden="1"/>
    </xf>
    <xf numFmtId="0" fontId="0" fillId="0" borderId="39" xfId="0" applyFill="1" applyBorder="1" applyAlignment="1" applyProtection="1">
      <alignment/>
      <protection hidden="1"/>
    </xf>
    <xf numFmtId="0" fontId="0" fillId="0" borderId="7" xfId="0" applyFill="1" applyBorder="1" applyAlignment="1" applyProtection="1">
      <alignment/>
      <protection hidden="1"/>
    </xf>
    <xf numFmtId="0" fontId="0" fillId="0" borderId="1" xfId="0" applyFill="1" applyBorder="1" applyAlignment="1" applyProtection="1">
      <alignment/>
      <protection hidden="1"/>
    </xf>
    <xf numFmtId="0" fontId="0" fillId="0" borderId="8" xfId="0" applyFill="1" applyBorder="1" applyAlignment="1" applyProtection="1">
      <alignment/>
      <protection hidden="1"/>
    </xf>
    <xf numFmtId="0" fontId="0" fillId="0" borderId="22" xfId="0" applyFill="1" applyBorder="1" applyAlignment="1" applyProtection="1">
      <alignment horizontal="center"/>
      <protection hidden="1"/>
    </xf>
    <xf numFmtId="0" fontId="10" fillId="0" borderId="0" xfId="0" applyFont="1" applyAlignment="1" applyProtection="1">
      <alignment/>
      <protection hidden="1"/>
    </xf>
    <xf numFmtId="0" fontId="0" fillId="0" borderId="0" xfId="0" applyAlignment="1" applyProtection="1">
      <alignment horizontal="right"/>
      <protection hidden="1"/>
    </xf>
    <xf numFmtId="0" fontId="2" fillId="0" borderId="0" xfId="0" applyFont="1" applyAlignment="1" applyProtection="1">
      <alignment/>
      <protection hidden="1"/>
    </xf>
    <xf numFmtId="0" fontId="1" fillId="6" borderId="13" xfId="0" applyFont="1" applyFill="1" applyBorder="1" applyAlignment="1" applyProtection="1">
      <alignment horizontal="center"/>
      <protection hidden="1"/>
    </xf>
    <xf numFmtId="0" fontId="1" fillId="6" borderId="10" xfId="0" applyFont="1" applyFill="1" applyBorder="1" applyAlignment="1" applyProtection="1">
      <alignment horizontal="center"/>
      <protection hidden="1"/>
    </xf>
    <xf numFmtId="0" fontId="1" fillId="6" borderId="10" xfId="0" applyFont="1" applyFill="1" applyBorder="1" applyAlignment="1" applyProtection="1">
      <alignment horizontal="center"/>
      <protection hidden="1"/>
    </xf>
    <xf numFmtId="0" fontId="0" fillId="6" borderId="10" xfId="0" applyFill="1" applyBorder="1" applyAlignment="1" applyProtection="1">
      <alignment/>
      <protection hidden="1"/>
    </xf>
    <xf numFmtId="0" fontId="1" fillId="6" borderId="55" xfId="0" applyFont="1" applyFill="1" applyBorder="1" applyAlignment="1" applyProtection="1">
      <alignment horizontal="center"/>
      <protection hidden="1"/>
    </xf>
    <xf numFmtId="0" fontId="1" fillId="6" borderId="27" xfId="0" applyFont="1" applyFill="1" applyBorder="1" applyAlignment="1" applyProtection="1">
      <alignment horizontal="right"/>
      <protection hidden="1"/>
    </xf>
    <xf numFmtId="0" fontId="1" fillId="6" borderId="26" xfId="0" applyFont="1" applyFill="1" applyBorder="1" applyAlignment="1" applyProtection="1">
      <alignment horizontal="right"/>
      <protection hidden="1"/>
    </xf>
    <xf numFmtId="0" fontId="0" fillId="6" borderId="26" xfId="0" applyFill="1" applyBorder="1" applyAlignment="1" applyProtection="1">
      <alignment horizontal="right"/>
      <protection hidden="1"/>
    </xf>
    <xf numFmtId="0" fontId="1" fillId="6" borderId="28" xfId="0" applyFont="1" applyFill="1" applyBorder="1" applyAlignment="1" applyProtection="1">
      <alignment horizontal="right"/>
      <protection hidden="1"/>
    </xf>
    <xf numFmtId="3" fontId="3" fillId="9" borderId="6" xfId="0" applyNumberFormat="1" applyFont="1" applyFill="1" applyBorder="1" applyAlignment="1" applyProtection="1">
      <alignment/>
      <protection hidden="1"/>
    </xf>
    <xf numFmtId="3" fontId="3" fillId="9" borderId="8" xfId="0" applyNumberFormat="1" applyFont="1" applyFill="1" applyBorder="1" applyAlignment="1" applyProtection="1">
      <alignment horizontal="right"/>
      <protection hidden="1"/>
    </xf>
    <xf numFmtId="3" fontId="3" fillId="9" borderId="7" xfId="0" applyNumberFormat="1" applyFont="1" applyFill="1" applyBorder="1" applyAlignment="1" applyProtection="1">
      <alignment horizontal="right"/>
      <protection hidden="1"/>
    </xf>
    <xf numFmtId="3" fontId="3" fillId="9" borderId="1" xfId="0" applyNumberFormat="1" applyFont="1" applyFill="1" applyBorder="1" applyAlignment="1" applyProtection="1">
      <alignment horizontal="right"/>
      <protection hidden="1"/>
    </xf>
    <xf numFmtId="3" fontId="3" fillId="0" borderId="0" xfId="0" applyNumberFormat="1" applyFont="1" applyBorder="1" applyAlignment="1" applyProtection="1">
      <alignment/>
      <protection hidden="1"/>
    </xf>
    <xf numFmtId="3" fontId="3"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3" fontId="16" fillId="9" borderId="0" xfId="0" applyNumberFormat="1" applyFont="1" applyFill="1" applyBorder="1" applyAlignment="1" applyProtection="1">
      <alignment/>
      <protection hidden="1"/>
    </xf>
    <xf numFmtId="0" fontId="2" fillId="3" borderId="13" xfId="0" applyFont="1" applyFill="1" applyBorder="1" applyAlignment="1" applyProtection="1">
      <alignment/>
      <protection hidden="1"/>
    </xf>
    <xf numFmtId="0" fontId="0" fillId="3" borderId="10" xfId="0" applyFill="1" applyBorder="1" applyAlignment="1" applyProtection="1">
      <alignment/>
      <protection hidden="1"/>
    </xf>
    <xf numFmtId="0" fontId="2" fillId="10" borderId="18" xfId="0" applyFont="1" applyFill="1" applyBorder="1" applyAlignment="1" applyProtection="1">
      <alignment/>
      <protection hidden="1"/>
    </xf>
    <xf numFmtId="0" fontId="0" fillId="10" borderId="16" xfId="0" applyFill="1" applyBorder="1" applyAlignment="1" applyProtection="1">
      <alignment/>
      <protection hidden="1"/>
    </xf>
    <xf numFmtId="0" fontId="1" fillId="0" borderId="0" xfId="0" applyFont="1" applyAlignment="1" applyProtection="1">
      <alignment/>
      <protection hidden="1"/>
    </xf>
    <xf numFmtId="0" fontId="1" fillId="11" borderId="0" xfId="0" applyFont="1" applyFill="1" applyAlignment="1" applyProtection="1">
      <alignment/>
      <protection/>
    </xf>
    <xf numFmtId="0" fontId="0" fillId="11" borderId="0" xfId="0" applyFill="1" applyAlignment="1" applyProtection="1">
      <alignment/>
      <protection/>
    </xf>
    <xf numFmtId="0" fontId="1" fillId="11" borderId="6" xfId="0" applyFont="1" applyFill="1" applyBorder="1" applyAlignment="1" applyProtection="1">
      <alignment/>
      <protection/>
    </xf>
    <xf numFmtId="0" fontId="1" fillId="11" borderId="1" xfId="0" applyFont="1" applyFill="1" applyBorder="1" applyAlignment="1" applyProtection="1">
      <alignment/>
      <protection/>
    </xf>
    <xf numFmtId="0" fontId="0" fillId="11" borderId="1" xfId="0" applyFill="1" applyBorder="1" applyAlignment="1" applyProtection="1">
      <alignment/>
      <protection/>
    </xf>
    <xf numFmtId="0" fontId="1" fillId="11" borderId="56" xfId="0" applyFont="1" applyFill="1" applyBorder="1" applyAlignment="1" applyProtection="1">
      <alignment horizontal="left"/>
      <protection/>
    </xf>
    <xf numFmtId="0" fontId="1" fillId="11" borderId="57" xfId="0" applyFont="1" applyFill="1" applyBorder="1" applyAlignment="1" applyProtection="1">
      <alignment horizontal="left"/>
      <protection/>
    </xf>
    <xf numFmtId="0" fontId="1" fillId="11" borderId="58" xfId="0" applyFont="1" applyFill="1" applyBorder="1" applyAlignment="1" applyProtection="1">
      <alignment horizontal="left"/>
      <protection/>
    </xf>
    <xf numFmtId="0" fontId="1" fillId="11" borderId="59" xfId="0" applyFont="1" applyFill="1" applyBorder="1" applyAlignment="1" applyProtection="1">
      <alignment horizontal="left"/>
      <protection/>
    </xf>
    <xf numFmtId="0" fontId="1" fillId="11" borderId="58" xfId="0" applyFont="1" applyFill="1" applyBorder="1" applyAlignment="1" applyProtection="1">
      <alignment horizontal="center"/>
      <protection/>
    </xf>
    <xf numFmtId="0" fontId="1" fillId="11" borderId="57" xfId="0" applyFont="1" applyFill="1" applyBorder="1" applyAlignment="1" applyProtection="1">
      <alignment horizontal="center"/>
      <protection/>
    </xf>
    <xf numFmtId="0" fontId="0" fillId="11" borderId="60" xfId="0" applyFill="1" applyBorder="1" applyAlignment="1" applyProtection="1">
      <alignment horizontal="left"/>
      <protection/>
    </xf>
    <xf numFmtId="0" fontId="0" fillId="11" borderId="2" xfId="0" applyFill="1" applyBorder="1" applyAlignment="1" applyProtection="1">
      <alignment/>
      <protection/>
    </xf>
    <xf numFmtId="0" fontId="0" fillId="11" borderId="0" xfId="0" applyFill="1" applyBorder="1" applyAlignment="1" applyProtection="1">
      <alignment/>
      <protection/>
    </xf>
    <xf numFmtId="0" fontId="0" fillId="11" borderId="3" xfId="0" applyFill="1" applyBorder="1" applyAlignment="1" applyProtection="1">
      <alignment/>
      <protection/>
    </xf>
    <xf numFmtId="0" fontId="0" fillId="11" borderId="4" xfId="0" applyFill="1" applyBorder="1" applyAlignment="1" applyProtection="1">
      <alignment/>
      <protection/>
    </xf>
    <xf numFmtId="0" fontId="0" fillId="11" borderId="3" xfId="0" applyFill="1" applyBorder="1" applyAlignment="1" applyProtection="1">
      <alignment horizontal="center"/>
      <protection/>
    </xf>
    <xf numFmtId="0" fontId="0" fillId="11" borderId="0" xfId="0" applyFill="1" applyBorder="1" applyAlignment="1" applyProtection="1">
      <alignment horizontal="center"/>
      <protection/>
    </xf>
    <xf numFmtId="0" fontId="0" fillId="11" borderId="5" xfId="0" applyFill="1" applyBorder="1" applyAlignment="1" applyProtection="1">
      <alignment/>
      <protection/>
    </xf>
    <xf numFmtId="0" fontId="0" fillId="11" borderId="6" xfId="0" applyFill="1" applyBorder="1" applyAlignment="1" applyProtection="1">
      <alignment/>
      <protection/>
    </xf>
    <xf numFmtId="0" fontId="0" fillId="11" borderId="7" xfId="0" applyFill="1" applyBorder="1" applyAlignment="1" applyProtection="1">
      <alignment/>
      <protection/>
    </xf>
    <xf numFmtId="0" fontId="0" fillId="11" borderId="8" xfId="0" applyFill="1" applyBorder="1" applyAlignment="1" applyProtection="1">
      <alignment/>
      <protection/>
    </xf>
    <xf numFmtId="0" fontId="0" fillId="11" borderId="7" xfId="0" applyFill="1" applyBorder="1" applyAlignment="1" applyProtection="1">
      <alignment horizontal="center"/>
      <protection/>
    </xf>
    <xf numFmtId="0" fontId="0" fillId="11" borderId="1" xfId="0" applyFill="1" applyBorder="1" applyAlignment="1" applyProtection="1">
      <alignment horizontal="center"/>
      <protection/>
    </xf>
    <xf numFmtId="0" fontId="0" fillId="11" borderId="9" xfId="0" applyFill="1" applyBorder="1" applyAlignment="1" applyProtection="1">
      <alignment/>
      <protection/>
    </xf>
    <xf numFmtId="0" fontId="1" fillId="11" borderId="61" xfId="0" applyFont="1" applyFill="1" applyBorder="1" applyAlignment="1" applyProtection="1">
      <alignment/>
      <protection/>
    </xf>
    <xf numFmtId="0" fontId="1" fillId="11" borderId="62" xfId="0" applyFont="1" applyFill="1" applyBorder="1" applyAlignment="1" applyProtection="1">
      <alignment/>
      <protection/>
    </xf>
    <xf numFmtId="0" fontId="1" fillId="11" borderId="63" xfId="0" applyFont="1" applyFill="1" applyBorder="1" applyAlignment="1" applyProtection="1">
      <alignment/>
      <protection/>
    </xf>
    <xf numFmtId="0" fontId="1" fillId="11" borderId="64" xfId="0" applyFont="1" applyFill="1" applyBorder="1" applyAlignment="1" applyProtection="1">
      <alignment/>
      <protection/>
    </xf>
    <xf numFmtId="0" fontId="1" fillId="11" borderId="62" xfId="0" applyFont="1" applyFill="1" applyBorder="1" applyAlignment="1" applyProtection="1">
      <alignment horizontal="center"/>
      <protection/>
    </xf>
    <xf numFmtId="0" fontId="0" fillId="11" borderId="65" xfId="0" applyFill="1" applyBorder="1" applyAlignment="1" applyProtection="1">
      <alignment/>
      <protection/>
    </xf>
    <xf numFmtId="0" fontId="0" fillId="11" borderId="5" xfId="0" applyFill="1" applyBorder="1" applyAlignment="1" applyProtection="1">
      <alignment horizontal="center"/>
      <protection/>
    </xf>
    <xf numFmtId="0" fontId="0" fillId="11" borderId="9" xfId="0" applyFill="1" applyBorder="1" applyAlignment="1" applyProtection="1">
      <alignment horizontal="center"/>
      <protection/>
    </xf>
    <xf numFmtId="0" fontId="1" fillId="2" borderId="0" xfId="0" applyFont="1" applyFill="1" applyAlignment="1" applyProtection="1">
      <alignment/>
      <protection/>
    </xf>
    <xf numFmtId="0" fontId="0" fillId="2" borderId="0" xfId="0" applyFill="1" applyAlignment="1" applyProtection="1">
      <alignment/>
      <protection/>
    </xf>
    <xf numFmtId="0" fontId="1" fillId="2" borderId="6" xfId="0" applyFont="1" applyFill="1" applyBorder="1" applyAlignment="1" applyProtection="1">
      <alignment/>
      <protection/>
    </xf>
    <xf numFmtId="0" fontId="1" fillId="2" borderId="1" xfId="0" applyFont="1" applyFill="1" applyBorder="1" applyAlignment="1" applyProtection="1">
      <alignment/>
      <protection/>
    </xf>
    <xf numFmtId="0" fontId="0" fillId="2" borderId="1" xfId="0" applyFill="1" applyBorder="1" applyAlignment="1" applyProtection="1">
      <alignment/>
      <protection/>
    </xf>
    <xf numFmtId="0" fontId="1" fillId="2" borderId="56" xfId="0" applyFont="1" applyFill="1" applyBorder="1" applyAlignment="1" applyProtection="1">
      <alignment horizontal="left"/>
      <protection/>
    </xf>
    <xf numFmtId="0" fontId="1" fillId="2" borderId="59" xfId="0" applyFont="1" applyFill="1" applyBorder="1" applyAlignment="1" applyProtection="1">
      <alignment horizontal="left"/>
      <protection/>
    </xf>
    <xf numFmtId="0" fontId="1" fillId="2" borderId="57" xfId="0" applyFont="1" applyFill="1" applyBorder="1" applyAlignment="1" applyProtection="1">
      <alignment horizontal="left"/>
      <protection/>
    </xf>
    <xf numFmtId="0" fontId="1" fillId="2" borderId="58" xfId="0" applyFont="1" applyFill="1" applyBorder="1" applyAlignment="1" applyProtection="1">
      <alignment horizontal="center"/>
      <protection/>
    </xf>
    <xf numFmtId="0" fontId="1" fillId="2" borderId="57" xfId="0" applyFont="1" applyFill="1" applyBorder="1" applyAlignment="1" applyProtection="1">
      <alignment horizontal="center"/>
      <protection/>
    </xf>
    <xf numFmtId="0" fontId="0" fillId="2" borderId="60" xfId="0" applyFill="1" applyBorder="1" applyAlignment="1" applyProtection="1">
      <alignment horizontal="left"/>
      <protection/>
    </xf>
    <xf numFmtId="0" fontId="0" fillId="2" borderId="2" xfId="0"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0" fontId="0" fillId="2" borderId="3" xfId="0" applyFill="1" applyBorder="1" applyAlignment="1" applyProtection="1">
      <alignment horizontal="center"/>
      <protection/>
    </xf>
    <xf numFmtId="0" fontId="0" fillId="2" borderId="0" xfId="0" applyFill="1" applyBorder="1" applyAlignment="1" applyProtection="1">
      <alignment horizontal="center"/>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8" xfId="0" applyFill="1" applyBorder="1" applyAlignment="1" applyProtection="1">
      <alignment/>
      <protection/>
    </xf>
    <xf numFmtId="0" fontId="0" fillId="2" borderId="7" xfId="0" applyFill="1" applyBorder="1" applyAlignment="1" applyProtection="1">
      <alignment horizontal="center"/>
      <protection/>
    </xf>
    <xf numFmtId="0" fontId="0" fillId="2" borderId="1" xfId="0" applyFill="1" applyBorder="1" applyAlignment="1" applyProtection="1">
      <alignment horizontal="center"/>
      <protection/>
    </xf>
    <xf numFmtId="0" fontId="0" fillId="2" borderId="9" xfId="0" applyFill="1" applyBorder="1" applyAlignment="1" applyProtection="1">
      <alignment/>
      <protection/>
    </xf>
    <xf numFmtId="0" fontId="1" fillId="2" borderId="61" xfId="0" applyFont="1" applyFill="1" applyBorder="1" applyAlignment="1" applyProtection="1">
      <alignment/>
      <protection/>
    </xf>
    <xf numFmtId="0" fontId="1" fillId="2" borderId="62" xfId="0" applyFont="1" applyFill="1" applyBorder="1" applyAlignment="1" applyProtection="1">
      <alignment/>
      <protection/>
    </xf>
    <xf numFmtId="0" fontId="1" fillId="2" borderId="63" xfId="0" applyFont="1" applyFill="1" applyBorder="1" applyAlignment="1" applyProtection="1">
      <alignment/>
      <protection/>
    </xf>
    <xf numFmtId="0" fontId="1" fillId="2" borderId="64" xfId="0" applyFont="1" applyFill="1" applyBorder="1" applyAlignment="1" applyProtection="1">
      <alignment/>
      <protection/>
    </xf>
    <xf numFmtId="0" fontId="1" fillId="2" borderId="62" xfId="0" applyFont="1" applyFill="1" applyBorder="1" applyAlignment="1" applyProtection="1">
      <alignment horizontal="center"/>
      <protection/>
    </xf>
    <xf numFmtId="0" fontId="0" fillId="2" borderId="65" xfId="0" applyFill="1" applyBorder="1" applyAlignment="1" applyProtection="1">
      <alignment/>
      <protection/>
    </xf>
    <xf numFmtId="0" fontId="0" fillId="2" borderId="3" xfId="0" applyFill="1" applyBorder="1" applyAlignment="1" applyProtection="1">
      <alignment/>
      <protection/>
    </xf>
    <xf numFmtId="0" fontId="0" fillId="2" borderId="7" xfId="0" applyFill="1" applyBorder="1" applyAlignment="1" applyProtection="1">
      <alignment/>
      <protection/>
    </xf>
    <xf numFmtId="0" fontId="1" fillId="3" borderId="0" xfId="0" applyFont="1" applyFill="1" applyAlignment="1" applyProtection="1">
      <alignment/>
      <protection/>
    </xf>
    <xf numFmtId="0" fontId="0" fillId="3" borderId="0" xfId="0" applyFill="1" applyAlignment="1" applyProtection="1">
      <alignment/>
      <protection/>
    </xf>
    <xf numFmtId="0" fontId="1" fillId="3" borderId="6" xfId="0" applyFont="1" applyFill="1" applyBorder="1" applyAlignment="1" applyProtection="1">
      <alignment/>
      <protection/>
    </xf>
    <xf numFmtId="0" fontId="1" fillId="3" borderId="1" xfId="0" applyFont="1" applyFill="1" applyBorder="1" applyAlignment="1" applyProtection="1">
      <alignment/>
      <protection/>
    </xf>
    <xf numFmtId="0" fontId="0" fillId="3" borderId="1" xfId="0" applyFill="1" applyBorder="1" applyAlignment="1" applyProtection="1">
      <alignment/>
      <protection/>
    </xf>
    <xf numFmtId="0" fontId="1" fillId="3" borderId="56" xfId="0" applyFont="1" applyFill="1" applyBorder="1" applyAlignment="1" applyProtection="1">
      <alignment horizontal="left"/>
      <protection/>
    </xf>
    <xf numFmtId="0" fontId="1" fillId="3" borderId="59" xfId="0" applyFont="1" applyFill="1" applyBorder="1" applyAlignment="1" applyProtection="1">
      <alignment horizontal="left"/>
      <protection/>
    </xf>
    <xf numFmtId="0" fontId="1" fillId="3" borderId="57" xfId="0" applyFont="1" applyFill="1" applyBorder="1" applyAlignment="1" applyProtection="1">
      <alignment horizontal="left"/>
      <protection/>
    </xf>
    <xf numFmtId="0" fontId="1" fillId="3" borderId="58" xfId="0" applyFont="1" applyFill="1" applyBorder="1" applyAlignment="1" applyProtection="1">
      <alignment horizontal="center"/>
      <protection/>
    </xf>
    <xf numFmtId="0" fontId="1" fillId="3" borderId="57" xfId="0" applyFont="1" applyFill="1" applyBorder="1" applyAlignment="1" applyProtection="1">
      <alignment horizontal="center"/>
      <protection/>
    </xf>
    <xf numFmtId="0" fontId="0" fillId="3" borderId="60" xfId="0" applyFill="1" applyBorder="1" applyAlignment="1" applyProtection="1">
      <alignment horizontal="left"/>
      <protection/>
    </xf>
    <xf numFmtId="0" fontId="0" fillId="3" borderId="2" xfId="0" applyFill="1" applyBorder="1" applyAlignment="1" applyProtection="1">
      <alignment/>
      <protection/>
    </xf>
    <xf numFmtId="0" fontId="0" fillId="3" borderId="3" xfId="0" applyFill="1" applyBorder="1" applyAlignment="1" applyProtection="1">
      <alignment horizontal="center"/>
      <protection/>
    </xf>
    <xf numFmtId="0" fontId="0" fillId="3" borderId="0" xfId="0" applyFill="1" applyBorder="1" applyAlignment="1" applyProtection="1">
      <alignment horizontal="center"/>
      <protection/>
    </xf>
    <xf numFmtId="0" fontId="0" fillId="3" borderId="5" xfId="0" applyFill="1" applyBorder="1" applyAlignment="1" applyProtection="1">
      <alignment/>
      <protection/>
    </xf>
    <xf numFmtId="0" fontId="0" fillId="3" borderId="6" xfId="0" applyFill="1" applyBorder="1" applyAlignment="1" applyProtection="1">
      <alignment/>
      <protection/>
    </xf>
    <xf numFmtId="0" fontId="0" fillId="3" borderId="8" xfId="0" applyFill="1" applyBorder="1" applyAlignment="1" applyProtection="1">
      <alignment/>
      <protection/>
    </xf>
    <xf numFmtId="0" fontId="0" fillId="3" borderId="7" xfId="0" applyFill="1" applyBorder="1" applyAlignment="1" applyProtection="1">
      <alignment horizontal="center"/>
      <protection/>
    </xf>
    <xf numFmtId="0" fontId="0" fillId="3" borderId="1" xfId="0" applyFill="1" applyBorder="1" applyAlignment="1" applyProtection="1">
      <alignment horizontal="center"/>
      <protection/>
    </xf>
    <xf numFmtId="0" fontId="0" fillId="3" borderId="9" xfId="0" applyFill="1" applyBorder="1" applyAlignment="1" applyProtection="1">
      <alignment/>
      <protection/>
    </xf>
    <xf numFmtId="0" fontId="1" fillId="3" borderId="61" xfId="0" applyFont="1" applyFill="1" applyBorder="1" applyAlignment="1" applyProtection="1">
      <alignment/>
      <protection/>
    </xf>
    <xf numFmtId="0" fontId="1" fillId="3" borderId="62" xfId="0" applyFont="1" applyFill="1" applyBorder="1" applyAlignment="1" applyProtection="1">
      <alignment/>
      <protection/>
    </xf>
    <xf numFmtId="0" fontId="1" fillId="3" borderId="63" xfId="0" applyFont="1" applyFill="1" applyBorder="1" applyAlignment="1" applyProtection="1">
      <alignment/>
      <protection/>
    </xf>
    <xf numFmtId="0" fontId="1" fillId="3" borderId="64" xfId="0" applyFont="1" applyFill="1" applyBorder="1" applyAlignment="1" applyProtection="1">
      <alignment/>
      <protection/>
    </xf>
    <xf numFmtId="0" fontId="1" fillId="3" borderId="62" xfId="0" applyFont="1" applyFill="1" applyBorder="1" applyAlignment="1" applyProtection="1">
      <alignment horizontal="center"/>
      <protection/>
    </xf>
    <xf numFmtId="0" fontId="0" fillId="3" borderId="65" xfId="0" applyFill="1" applyBorder="1" applyAlignment="1" applyProtection="1">
      <alignment/>
      <protection/>
    </xf>
    <xf numFmtId="0" fontId="0" fillId="3" borderId="7" xfId="0" applyFill="1" applyBorder="1" applyAlignment="1" applyProtection="1">
      <alignment/>
      <protection/>
    </xf>
    <xf numFmtId="0" fontId="1" fillId="12" borderId="0" xfId="0" applyFont="1" applyFill="1" applyAlignment="1" applyProtection="1">
      <alignment/>
      <protection/>
    </xf>
    <xf numFmtId="0" fontId="0" fillId="12" borderId="0" xfId="0" applyFill="1" applyAlignment="1" applyProtection="1">
      <alignment/>
      <protection/>
    </xf>
    <xf numFmtId="0" fontId="1" fillId="12" borderId="6" xfId="0" applyFont="1" applyFill="1" applyBorder="1" applyAlignment="1" applyProtection="1">
      <alignment/>
      <protection/>
    </xf>
    <xf numFmtId="0" fontId="1" fillId="12" borderId="1" xfId="0" applyFont="1" applyFill="1" applyBorder="1" applyAlignment="1" applyProtection="1">
      <alignment/>
      <protection/>
    </xf>
    <xf numFmtId="0" fontId="0" fillId="12" borderId="1" xfId="0" applyFill="1" applyBorder="1" applyAlignment="1" applyProtection="1">
      <alignment/>
      <protection/>
    </xf>
    <xf numFmtId="0" fontId="1" fillId="12" borderId="56" xfId="0" applyFont="1" applyFill="1" applyBorder="1" applyAlignment="1" applyProtection="1">
      <alignment horizontal="left"/>
      <protection/>
    </xf>
    <xf numFmtId="0" fontId="1" fillId="12" borderId="59" xfId="0" applyFont="1" applyFill="1" applyBorder="1" applyAlignment="1" applyProtection="1">
      <alignment horizontal="left"/>
      <protection/>
    </xf>
    <xf numFmtId="0" fontId="1" fillId="12" borderId="57" xfId="0" applyFont="1" applyFill="1" applyBorder="1" applyAlignment="1" applyProtection="1">
      <alignment horizontal="left"/>
      <protection/>
    </xf>
    <xf numFmtId="0" fontId="1" fillId="12" borderId="58" xfId="0" applyFont="1" applyFill="1" applyBorder="1" applyAlignment="1" applyProtection="1">
      <alignment horizontal="center"/>
      <protection/>
    </xf>
    <xf numFmtId="0" fontId="1" fillId="12" borderId="57" xfId="0" applyFont="1" applyFill="1" applyBorder="1" applyAlignment="1" applyProtection="1">
      <alignment horizontal="center"/>
      <protection/>
    </xf>
    <xf numFmtId="0" fontId="0" fillId="12" borderId="60" xfId="0" applyFill="1" applyBorder="1" applyAlignment="1" applyProtection="1">
      <alignment horizontal="left"/>
      <protection/>
    </xf>
    <xf numFmtId="0" fontId="0" fillId="12" borderId="2" xfId="0" applyFill="1" applyBorder="1" applyAlignment="1" applyProtection="1">
      <alignment/>
      <protection/>
    </xf>
    <xf numFmtId="0" fontId="0" fillId="12" borderId="4" xfId="0" applyFill="1" applyBorder="1" applyAlignment="1" applyProtection="1">
      <alignment/>
      <protection/>
    </xf>
    <xf numFmtId="0" fontId="0" fillId="12" borderId="0" xfId="0" applyFill="1" applyBorder="1" applyAlignment="1" applyProtection="1">
      <alignment/>
      <protection/>
    </xf>
    <xf numFmtId="0" fontId="0" fillId="12" borderId="3" xfId="0" applyFill="1" applyBorder="1" applyAlignment="1" applyProtection="1">
      <alignment horizontal="center"/>
      <protection/>
    </xf>
    <xf numFmtId="0" fontId="0" fillId="12" borderId="0" xfId="0" applyFill="1" applyBorder="1" applyAlignment="1" applyProtection="1">
      <alignment horizontal="center"/>
      <protection/>
    </xf>
    <xf numFmtId="0" fontId="0" fillId="12" borderId="5" xfId="0" applyFill="1" applyBorder="1" applyAlignment="1" applyProtection="1">
      <alignment/>
      <protection/>
    </xf>
    <xf numFmtId="0" fontId="0" fillId="12" borderId="6" xfId="0" applyFill="1" applyBorder="1" applyAlignment="1" applyProtection="1">
      <alignment/>
      <protection/>
    </xf>
    <xf numFmtId="0" fontId="0" fillId="12" borderId="8" xfId="0" applyFill="1" applyBorder="1" applyAlignment="1" applyProtection="1">
      <alignment/>
      <protection/>
    </xf>
    <xf numFmtId="0" fontId="0" fillId="12" borderId="7" xfId="0" applyFill="1" applyBorder="1" applyAlignment="1" applyProtection="1">
      <alignment horizontal="center"/>
      <protection/>
    </xf>
    <xf numFmtId="0" fontId="0" fillId="12" borderId="1" xfId="0" applyFill="1" applyBorder="1" applyAlignment="1" applyProtection="1">
      <alignment horizontal="center"/>
      <protection/>
    </xf>
    <xf numFmtId="0" fontId="0" fillId="12" borderId="9" xfId="0" applyFill="1" applyBorder="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protection/>
    </xf>
    <xf numFmtId="0" fontId="1" fillId="4" borderId="6" xfId="0" applyFont="1" applyFill="1" applyBorder="1" applyAlignment="1" applyProtection="1">
      <alignment/>
      <protection/>
    </xf>
    <xf numFmtId="0" fontId="1" fillId="4" borderId="1" xfId="0" applyFont="1" applyFill="1" applyBorder="1" applyAlignment="1" applyProtection="1">
      <alignment/>
      <protection/>
    </xf>
    <xf numFmtId="0" fontId="0" fillId="4" borderId="1" xfId="0" applyFill="1" applyBorder="1" applyAlignment="1" applyProtection="1">
      <alignment/>
      <protection/>
    </xf>
    <xf numFmtId="0" fontId="1" fillId="4" borderId="56" xfId="0" applyFont="1" applyFill="1" applyBorder="1" applyAlignment="1" applyProtection="1">
      <alignment horizontal="left"/>
      <protection/>
    </xf>
    <xf numFmtId="0" fontId="1" fillId="4" borderId="59" xfId="0" applyFont="1" applyFill="1" applyBorder="1" applyAlignment="1" applyProtection="1">
      <alignment horizontal="left"/>
      <protection/>
    </xf>
    <xf numFmtId="0" fontId="1" fillId="4" borderId="57" xfId="0" applyFont="1" applyFill="1" applyBorder="1" applyAlignment="1" applyProtection="1">
      <alignment horizontal="left"/>
      <protection/>
    </xf>
    <xf numFmtId="0" fontId="1" fillId="4" borderId="58" xfId="0" applyFont="1" applyFill="1" applyBorder="1" applyAlignment="1" applyProtection="1">
      <alignment horizontal="center"/>
      <protection/>
    </xf>
    <xf numFmtId="0" fontId="1" fillId="4" borderId="57" xfId="0" applyFont="1" applyFill="1" applyBorder="1" applyAlignment="1" applyProtection="1">
      <alignment horizontal="center"/>
      <protection/>
    </xf>
    <xf numFmtId="0" fontId="0" fillId="4" borderId="60" xfId="0" applyFill="1" applyBorder="1" applyAlignment="1" applyProtection="1">
      <alignment horizontal="left"/>
      <protection/>
    </xf>
    <xf numFmtId="0" fontId="0" fillId="4" borderId="2" xfId="0" applyFill="1" applyBorder="1" applyAlignment="1" applyProtection="1">
      <alignment/>
      <protection/>
    </xf>
    <xf numFmtId="0" fontId="0" fillId="4" borderId="4" xfId="0" applyFill="1" applyBorder="1" applyAlignment="1" applyProtection="1">
      <alignment/>
      <protection/>
    </xf>
    <xf numFmtId="0" fontId="0" fillId="4" borderId="3" xfId="0" applyFill="1" applyBorder="1" applyAlignment="1" applyProtection="1">
      <alignment horizontal="center"/>
      <protection/>
    </xf>
    <xf numFmtId="0" fontId="0" fillId="4" borderId="0" xfId="0" applyFill="1" applyBorder="1" applyAlignment="1" applyProtection="1">
      <alignment horizontal="center"/>
      <protection/>
    </xf>
    <xf numFmtId="0" fontId="0" fillId="4" borderId="5" xfId="0" applyFill="1" applyBorder="1" applyAlignment="1" applyProtection="1">
      <alignment/>
      <protection/>
    </xf>
    <xf numFmtId="0" fontId="0" fillId="4" borderId="6" xfId="0" applyFill="1" applyBorder="1" applyAlignment="1" applyProtection="1">
      <alignment/>
      <protection/>
    </xf>
    <xf numFmtId="0" fontId="0" fillId="4" borderId="8" xfId="0" applyFill="1" applyBorder="1" applyAlignment="1" applyProtection="1">
      <alignment/>
      <protection/>
    </xf>
    <xf numFmtId="0" fontId="0" fillId="4" borderId="7" xfId="0" applyFill="1" applyBorder="1" applyAlignment="1" applyProtection="1">
      <alignment horizontal="center"/>
      <protection/>
    </xf>
    <xf numFmtId="0" fontId="0" fillId="4" borderId="1" xfId="0" applyFill="1" applyBorder="1" applyAlignment="1" applyProtection="1">
      <alignment horizontal="center"/>
      <protection/>
    </xf>
    <xf numFmtId="0" fontId="0" fillId="4" borderId="9" xfId="0" applyFill="1" applyBorder="1" applyAlignment="1" applyProtection="1">
      <alignment/>
      <protection/>
    </xf>
    <xf numFmtId="0" fontId="1" fillId="4" borderId="61" xfId="0" applyFont="1" applyFill="1" applyBorder="1" applyAlignment="1" applyProtection="1">
      <alignment/>
      <protection/>
    </xf>
    <xf numFmtId="0" fontId="1" fillId="4" borderId="62" xfId="0" applyFont="1" applyFill="1" applyBorder="1" applyAlignment="1" applyProtection="1">
      <alignment/>
      <protection/>
    </xf>
    <xf numFmtId="0" fontId="1" fillId="4" borderId="63" xfId="0" applyFont="1" applyFill="1" applyBorder="1" applyAlignment="1" applyProtection="1">
      <alignment/>
      <protection/>
    </xf>
    <xf numFmtId="0" fontId="1" fillId="4" borderId="64" xfId="0" applyFont="1" applyFill="1" applyBorder="1" applyAlignment="1" applyProtection="1">
      <alignment/>
      <protection/>
    </xf>
    <xf numFmtId="0" fontId="1" fillId="4" borderId="62" xfId="0" applyFont="1" applyFill="1" applyBorder="1" applyAlignment="1" applyProtection="1">
      <alignment horizontal="center"/>
      <protection/>
    </xf>
    <xf numFmtId="0" fontId="0" fillId="4" borderId="65" xfId="0" applyFill="1" applyBorder="1" applyAlignment="1" applyProtection="1">
      <alignment/>
      <protection/>
    </xf>
    <xf numFmtId="0" fontId="0" fillId="4" borderId="7" xfId="0" applyFill="1" applyBorder="1" applyAlignment="1" applyProtection="1">
      <alignment/>
      <protection/>
    </xf>
    <xf numFmtId="0" fontId="1" fillId="13" borderId="0" xfId="0" applyFont="1" applyFill="1" applyAlignment="1" applyProtection="1">
      <alignment/>
      <protection/>
    </xf>
    <xf numFmtId="0" fontId="0" fillId="13" borderId="0" xfId="0" applyFill="1" applyAlignment="1" applyProtection="1">
      <alignment/>
      <protection/>
    </xf>
    <xf numFmtId="0" fontId="1" fillId="13" borderId="6" xfId="0" applyFont="1" applyFill="1" applyBorder="1" applyAlignment="1" applyProtection="1">
      <alignment/>
      <protection/>
    </xf>
    <xf numFmtId="0" fontId="1" fillId="13" borderId="1" xfId="0" applyFont="1" applyFill="1" applyBorder="1" applyAlignment="1" applyProtection="1">
      <alignment/>
      <protection/>
    </xf>
    <xf numFmtId="0" fontId="0" fillId="13" borderId="1" xfId="0" applyFill="1" applyBorder="1" applyAlignment="1" applyProtection="1">
      <alignment/>
      <protection/>
    </xf>
    <xf numFmtId="0" fontId="1" fillId="13" borderId="56" xfId="0" applyFont="1" applyFill="1" applyBorder="1" applyAlignment="1" applyProtection="1">
      <alignment horizontal="left"/>
      <protection/>
    </xf>
    <xf numFmtId="0" fontId="1" fillId="13" borderId="59" xfId="0" applyFont="1" applyFill="1" applyBorder="1" applyAlignment="1" applyProtection="1">
      <alignment horizontal="left"/>
      <protection/>
    </xf>
    <xf numFmtId="0" fontId="1" fillId="13" borderId="57" xfId="0" applyFont="1" applyFill="1" applyBorder="1" applyAlignment="1" applyProtection="1">
      <alignment horizontal="left"/>
      <protection/>
    </xf>
    <xf numFmtId="0" fontId="1" fillId="13" borderId="58" xfId="0" applyFont="1" applyFill="1" applyBorder="1" applyAlignment="1" applyProtection="1">
      <alignment horizontal="center"/>
      <protection/>
    </xf>
    <xf numFmtId="0" fontId="1" fillId="13" borderId="57" xfId="0" applyFont="1" applyFill="1" applyBorder="1" applyAlignment="1" applyProtection="1">
      <alignment horizontal="center"/>
      <protection/>
    </xf>
    <xf numFmtId="0" fontId="0" fillId="13" borderId="60" xfId="0" applyFill="1" applyBorder="1" applyAlignment="1" applyProtection="1">
      <alignment horizontal="left"/>
      <protection/>
    </xf>
    <xf numFmtId="0" fontId="0" fillId="13" borderId="2" xfId="0" applyFill="1" applyBorder="1" applyAlignment="1" applyProtection="1">
      <alignment/>
      <protection/>
    </xf>
    <xf numFmtId="0" fontId="0" fillId="13" borderId="4" xfId="0" applyFill="1" applyBorder="1" applyAlignment="1" applyProtection="1">
      <alignment/>
      <protection/>
    </xf>
    <xf numFmtId="0" fontId="0" fillId="13" borderId="0" xfId="0" applyFill="1" applyBorder="1" applyAlignment="1" applyProtection="1">
      <alignment/>
      <protection/>
    </xf>
    <xf numFmtId="0" fontId="0" fillId="13" borderId="3" xfId="0" applyFill="1" applyBorder="1" applyAlignment="1" applyProtection="1">
      <alignment horizontal="center"/>
      <protection/>
    </xf>
    <xf numFmtId="0" fontId="0" fillId="13" borderId="0" xfId="0" applyFill="1" applyBorder="1" applyAlignment="1" applyProtection="1">
      <alignment horizontal="center"/>
      <protection/>
    </xf>
    <xf numFmtId="0" fontId="0" fillId="13" borderId="5" xfId="0" applyFill="1" applyBorder="1" applyAlignment="1" applyProtection="1">
      <alignment/>
      <protection/>
    </xf>
    <xf numFmtId="0" fontId="0" fillId="13" borderId="6" xfId="0" applyFill="1" applyBorder="1" applyAlignment="1" applyProtection="1">
      <alignment/>
      <protection/>
    </xf>
    <xf numFmtId="0" fontId="0" fillId="13" borderId="8" xfId="0" applyFill="1" applyBorder="1" applyAlignment="1" applyProtection="1">
      <alignment/>
      <protection/>
    </xf>
    <xf numFmtId="0" fontId="0" fillId="13" borderId="7" xfId="0" applyFill="1" applyBorder="1" applyAlignment="1" applyProtection="1">
      <alignment horizontal="center"/>
      <protection/>
    </xf>
    <xf numFmtId="0" fontId="0" fillId="13" borderId="1" xfId="0" applyFill="1" applyBorder="1" applyAlignment="1" applyProtection="1">
      <alignment horizontal="center"/>
      <protection/>
    </xf>
    <xf numFmtId="0" fontId="0" fillId="13" borderId="9" xfId="0" applyFill="1" applyBorder="1" applyAlignment="1" applyProtection="1">
      <alignment/>
      <protection/>
    </xf>
    <xf numFmtId="0" fontId="1" fillId="13" borderId="61" xfId="0" applyFont="1" applyFill="1" applyBorder="1" applyAlignment="1" applyProtection="1">
      <alignment/>
      <protection/>
    </xf>
    <xf numFmtId="0" fontId="1" fillId="13" borderId="62" xfId="0" applyFont="1" applyFill="1" applyBorder="1" applyAlignment="1" applyProtection="1">
      <alignment/>
      <protection/>
    </xf>
    <xf numFmtId="0" fontId="1" fillId="13" borderId="63" xfId="0" applyFont="1" applyFill="1" applyBorder="1" applyAlignment="1" applyProtection="1">
      <alignment/>
      <protection/>
    </xf>
    <xf numFmtId="0" fontId="1" fillId="13" borderId="64" xfId="0" applyFont="1" applyFill="1" applyBorder="1" applyAlignment="1" applyProtection="1">
      <alignment/>
      <protection/>
    </xf>
    <xf numFmtId="0" fontId="1" fillId="13" borderId="62" xfId="0" applyFont="1" applyFill="1" applyBorder="1" applyAlignment="1" applyProtection="1">
      <alignment horizontal="center"/>
      <protection/>
    </xf>
    <xf numFmtId="0" fontId="0" fillId="13" borderId="65" xfId="0" applyFill="1" applyBorder="1" applyAlignment="1" applyProtection="1">
      <alignment/>
      <protection/>
    </xf>
    <xf numFmtId="0" fontId="0" fillId="13" borderId="2" xfId="0" applyFont="1" applyFill="1" applyBorder="1" applyAlignment="1" applyProtection="1">
      <alignment/>
      <protection/>
    </xf>
    <xf numFmtId="0" fontId="0" fillId="13" borderId="0" xfId="0" applyFont="1" applyFill="1" applyBorder="1" applyAlignment="1" applyProtection="1">
      <alignment/>
      <protection/>
    </xf>
    <xf numFmtId="0" fontId="0" fillId="13" borderId="3" xfId="0" applyFont="1" applyFill="1" applyBorder="1" applyAlignment="1" applyProtection="1">
      <alignment/>
      <protection/>
    </xf>
    <xf numFmtId="0" fontId="0" fillId="13" borderId="4" xfId="0" applyFont="1" applyFill="1" applyBorder="1" applyAlignment="1" applyProtection="1">
      <alignment/>
      <protection/>
    </xf>
    <xf numFmtId="0" fontId="0" fillId="13" borderId="3" xfId="0" applyFont="1" applyFill="1" applyBorder="1" applyAlignment="1" applyProtection="1">
      <alignment horizontal="center"/>
      <protection/>
    </xf>
    <xf numFmtId="0" fontId="0" fillId="13" borderId="0" xfId="0" applyFont="1" applyFill="1" applyBorder="1" applyAlignment="1" applyProtection="1">
      <alignment horizontal="center"/>
      <protection/>
    </xf>
    <xf numFmtId="0" fontId="0" fillId="13" borderId="5" xfId="0" applyFont="1" applyFill="1" applyBorder="1" applyAlignment="1" applyProtection="1">
      <alignment/>
      <protection/>
    </xf>
    <xf numFmtId="0" fontId="0" fillId="0" borderId="0" xfId="0" applyFont="1" applyAlignment="1" applyProtection="1">
      <alignment/>
      <protection/>
    </xf>
    <xf numFmtId="0" fontId="0" fillId="13" borderId="3" xfId="0" applyFill="1" applyBorder="1" applyAlignment="1" applyProtection="1">
      <alignment/>
      <protection/>
    </xf>
    <xf numFmtId="0" fontId="0" fillId="13" borderId="7" xfId="0" applyFill="1" applyBorder="1" applyAlignment="1" applyProtection="1">
      <alignment/>
      <protection/>
    </xf>
    <xf numFmtId="0" fontId="1" fillId="14" borderId="0" xfId="0" applyFont="1" applyFill="1" applyAlignment="1" applyProtection="1">
      <alignment/>
      <protection/>
    </xf>
    <xf numFmtId="0" fontId="0" fillId="14" borderId="0" xfId="0" applyFill="1" applyAlignment="1" applyProtection="1">
      <alignment/>
      <protection/>
    </xf>
    <xf numFmtId="0" fontId="1" fillId="14" borderId="6" xfId="0" applyFont="1" applyFill="1" applyBorder="1" applyAlignment="1" applyProtection="1">
      <alignment/>
      <protection/>
    </xf>
    <xf numFmtId="0" fontId="1" fillId="14" borderId="1" xfId="0" applyFont="1" applyFill="1" applyBorder="1" applyAlignment="1" applyProtection="1">
      <alignment/>
      <protection/>
    </xf>
    <xf numFmtId="0" fontId="0" fillId="14" borderId="1" xfId="0" applyFill="1" applyBorder="1" applyAlignment="1" applyProtection="1">
      <alignment/>
      <protection/>
    </xf>
    <xf numFmtId="0" fontId="1" fillId="14" borderId="56" xfId="0" applyFont="1" applyFill="1" applyBorder="1" applyAlignment="1" applyProtection="1">
      <alignment horizontal="left"/>
      <protection/>
    </xf>
    <xf numFmtId="0" fontId="1" fillId="14" borderId="59" xfId="0" applyFont="1" applyFill="1" applyBorder="1" applyAlignment="1" applyProtection="1">
      <alignment horizontal="left"/>
      <protection/>
    </xf>
    <xf numFmtId="0" fontId="1" fillId="14" borderId="57" xfId="0" applyFont="1" applyFill="1" applyBorder="1" applyAlignment="1" applyProtection="1">
      <alignment horizontal="left"/>
      <protection/>
    </xf>
    <xf numFmtId="0" fontId="1" fillId="14" borderId="58" xfId="0" applyFont="1" applyFill="1" applyBorder="1" applyAlignment="1" applyProtection="1">
      <alignment horizontal="center"/>
      <protection/>
    </xf>
    <xf numFmtId="0" fontId="1" fillId="14" borderId="57" xfId="0" applyFont="1" applyFill="1" applyBorder="1" applyAlignment="1" applyProtection="1">
      <alignment horizontal="center"/>
      <protection/>
    </xf>
    <xf numFmtId="0" fontId="0" fillId="14" borderId="60" xfId="0" applyFill="1" applyBorder="1" applyAlignment="1" applyProtection="1">
      <alignment horizontal="left"/>
      <protection/>
    </xf>
    <xf numFmtId="0" fontId="0" fillId="14" borderId="2" xfId="0" applyFill="1" applyBorder="1" applyAlignment="1" applyProtection="1">
      <alignment/>
      <protection/>
    </xf>
    <xf numFmtId="0" fontId="0" fillId="14" borderId="4" xfId="0" applyFill="1" applyBorder="1" applyAlignment="1" applyProtection="1">
      <alignment/>
      <protection/>
    </xf>
    <xf numFmtId="0" fontId="0" fillId="14" borderId="0" xfId="0" applyFill="1" applyBorder="1" applyAlignment="1" applyProtection="1">
      <alignment/>
      <protection/>
    </xf>
    <xf numFmtId="0" fontId="0" fillId="14" borderId="3" xfId="0" applyFill="1" applyBorder="1" applyAlignment="1" applyProtection="1">
      <alignment horizontal="center"/>
      <protection/>
    </xf>
    <xf numFmtId="0" fontId="0" fillId="14" borderId="0" xfId="0" applyFill="1" applyBorder="1" applyAlignment="1" applyProtection="1">
      <alignment horizontal="center"/>
      <protection/>
    </xf>
    <xf numFmtId="0" fontId="0" fillId="14" borderId="5" xfId="0" applyFill="1" applyBorder="1" applyAlignment="1" applyProtection="1">
      <alignment/>
      <protection/>
    </xf>
    <xf numFmtId="0" fontId="0" fillId="14" borderId="6" xfId="0" applyFill="1" applyBorder="1" applyAlignment="1" applyProtection="1">
      <alignment/>
      <protection/>
    </xf>
    <xf numFmtId="0" fontId="0" fillId="14" borderId="8" xfId="0" applyFill="1" applyBorder="1" applyAlignment="1" applyProtection="1">
      <alignment/>
      <protection/>
    </xf>
    <xf numFmtId="0" fontId="0" fillId="14" borderId="7" xfId="0" applyFill="1" applyBorder="1" applyAlignment="1" applyProtection="1">
      <alignment horizontal="center"/>
      <protection/>
    </xf>
    <xf numFmtId="0" fontId="0" fillId="14" borderId="1" xfId="0" applyFill="1" applyBorder="1" applyAlignment="1" applyProtection="1">
      <alignment horizontal="center"/>
      <protection/>
    </xf>
    <xf numFmtId="0" fontId="0" fillId="14" borderId="9" xfId="0" applyFill="1" applyBorder="1" applyAlignment="1" applyProtection="1">
      <alignment/>
      <protection/>
    </xf>
    <xf numFmtId="0" fontId="1" fillId="2" borderId="58" xfId="0" applyFont="1" applyFill="1" applyBorder="1" applyAlignment="1" applyProtection="1">
      <alignment horizontal="left"/>
      <protection/>
    </xf>
    <xf numFmtId="3" fontId="0" fillId="2" borderId="1" xfId="0" applyNumberFormat="1" applyFill="1" applyBorder="1" applyAlignment="1" applyProtection="1">
      <alignment horizontal="center"/>
      <protection/>
    </xf>
    <xf numFmtId="0" fontId="0" fillId="2" borderId="5" xfId="0" applyFill="1" applyBorder="1" applyAlignment="1" applyProtection="1">
      <alignment horizontal="center"/>
      <protection/>
    </xf>
    <xf numFmtId="0" fontId="0" fillId="2" borderId="9" xfId="0" applyFill="1" applyBorder="1" applyAlignment="1" applyProtection="1">
      <alignment horizontal="center"/>
      <protection/>
    </xf>
    <xf numFmtId="3" fontId="1" fillId="2" borderId="0" xfId="0" applyNumberFormat="1" applyFont="1" applyFill="1" applyAlignment="1" applyProtection="1">
      <alignment/>
      <protection/>
    </xf>
    <xf numFmtId="0" fontId="0" fillId="9" borderId="0" xfId="0" applyFill="1" applyAlignment="1" applyProtection="1">
      <alignment/>
      <protection/>
    </xf>
    <xf numFmtId="0" fontId="2" fillId="0" borderId="13" xfId="0" applyFont="1" applyBorder="1" applyAlignment="1" applyProtection="1">
      <alignment/>
      <protection/>
    </xf>
    <xf numFmtId="0" fontId="2" fillId="0" borderId="10" xfId="0" applyFont="1" applyBorder="1" applyAlignment="1" applyProtection="1">
      <alignment/>
      <protection/>
    </xf>
    <xf numFmtId="0" fontId="0" fillId="0" borderId="10" xfId="0" applyBorder="1" applyAlignment="1" applyProtection="1">
      <alignment/>
      <protection/>
    </xf>
    <xf numFmtId="0" fontId="0" fillId="0" borderId="20" xfId="0" applyBorder="1" applyAlignment="1" applyProtection="1">
      <alignment/>
      <protection/>
    </xf>
    <xf numFmtId="0" fontId="0" fillId="0" borderId="2" xfId="0" applyBorder="1" applyAlignment="1" applyProtection="1">
      <alignment/>
      <protection/>
    </xf>
    <xf numFmtId="0" fontId="0" fillId="0" borderId="5" xfId="0" applyBorder="1" applyAlignment="1" applyProtection="1">
      <alignment/>
      <protection/>
    </xf>
    <xf numFmtId="0" fontId="3" fillId="0" borderId="0" xfId="0" applyFont="1" applyBorder="1" applyAlignment="1" applyProtection="1">
      <alignment/>
      <protection/>
    </xf>
    <xf numFmtId="0" fontId="1" fillId="0" borderId="18" xfId="0" applyFont="1" applyBorder="1" applyAlignment="1" applyProtection="1">
      <alignment/>
      <protection/>
    </xf>
    <xf numFmtId="0" fontId="1" fillId="0" borderId="16" xfId="0" applyFont="1" applyBorder="1" applyAlignment="1" applyProtection="1">
      <alignment/>
      <protection/>
    </xf>
    <xf numFmtId="0" fontId="0" fillId="0" borderId="16" xfId="0" applyBorder="1" applyAlignment="1" applyProtection="1">
      <alignment/>
      <protection/>
    </xf>
    <xf numFmtId="0" fontId="0" fillId="0" borderId="25" xfId="0" applyBorder="1" applyAlignment="1" applyProtection="1">
      <alignment/>
      <protection/>
    </xf>
    <xf numFmtId="0" fontId="0" fillId="9" borderId="0" xfId="0" applyFill="1" applyBorder="1" applyAlignment="1" applyProtection="1">
      <alignment/>
      <protection/>
    </xf>
    <xf numFmtId="0" fontId="2" fillId="0" borderId="2" xfId="0" applyFont="1" applyBorder="1" applyAlignment="1" applyProtection="1">
      <alignment/>
      <protection/>
    </xf>
    <xf numFmtId="0" fontId="0" fillId="0" borderId="2" xfId="0" applyFill="1" applyBorder="1" applyAlignment="1" applyProtection="1">
      <alignment/>
      <protection/>
    </xf>
    <xf numFmtId="0" fontId="0" fillId="0" borderId="6" xfId="0" applyBorder="1" applyAlignment="1" applyProtection="1">
      <alignment/>
      <protection/>
    </xf>
    <xf numFmtId="0" fontId="0" fillId="0" borderId="1" xfId="0" applyBorder="1" applyAlignment="1" applyProtection="1">
      <alignment/>
      <protection/>
    </xf>
    <xf numFmtId="0" fontId="3" fillId="0" borderId="1" xfId="0" applyFont="1" applyBorder="1" applyAlignment="1" applyProtection="1">
      <alignment/>
      <protection/>
    </xf>
    <xf numFmtId="0" fontId="0" fillId="0" borderId="9" xfId="0" applyBorder="1" applyAlignment="1" applyProtection="1">
      <alignment/>
      <protection/>
    </xf>
    <xf numFmtId="0" fontId="19" fillId="0" borderId="0" xfId="0" applyFont="1" applyAlignment="1">
      <alignment horizontal="center" wrapText="1"/>
    </xf>
    <xf numFmtId="0" fontId="18" fillId="0" borderId="0" xfId="0" applyFont="1" applyAlignment="1">
      <alignment wrapText="1"/>
    </xf>
    <xf numFmtId="0" fontId="20" fillId="0" borderId="0" xfId="0" applyFont="1" applyAlignment="1">
      <alignment wrapText="1"/>
    </xf>
    <xf numFmtId="0" fontId="17" fillId="0" borderId="0" xfId="0" applyFont="1" applyAlignment="1">
      <alignment wrapText="1"/>
    </xf>
    <xf numFmtId="0" fontId="21" fillId="0" borderId="0" xfId="0" applyFont="1" applyAlignment="1">
      <alignment wrapText="1"/>
    </xf>
    <xf numFmtId="0" fontId="9" fillId="0" borderId="0" xfId="0" applyFont="1" applyFill="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9" borderId="0" xfId="0" applyFill="1" applyBorder="1" applyAlignment="1" applyProtection="1">
      <alignment/>
      <protection locked="0"/>
    </xf>
    <xf numFmtId="0" fontId="0" fillId="0" borderId="0" xfId="0" applyFill="1" applyAlignment="1" applyProtection="1">
      <alignment/>
      <protection locked="0"/>
    </xf>
    <xf numFmtId="0" fontId="10" fillId="0" borderId="0" xfId="0" applyFont="1" applyAlignment="1" applyProtection="1">
      <alignment/>
      <protection locked="0"/>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5" xfId="0" applyFill="1" applyBorder="1" applyAlignment="1" applyProtection="1">
      <alignment/>
      <protection locked="0"/>
    </xf>
    <xf numFmtId="0" fontId="0" fillId="0" borderId="9" xfId="0" applyFill="1" applyBorder="1" applyAlignment="1" applyProtection="1">
      <alignment/>
      <protection locked="0"/>
    </xf>
    <xf numFmtId="0" fontId="0" fillId="0" borderId="0" xfId="0" applyFill="1" applyBorder="1" applyAlignment="1" applyProtection="1">
      <alignment horizontal="left"/>
      <protection locked="0"/>
    </xf>
    <xf numFmtId="0" fontId="1" fillId="7" borderId="10" xfId="0" applyFont="1" applyFill="1" applyBorder="1" applyAlignment="1" applyProtection="1">
      <alignment horizontal="center"/>
      <protection locked="0"/>
    </xf>
    <xf numFmtId="0" fontId="1" fillId="7" borderId="10" xfId="0" applyFont="1" applyFill="1" applyBorder="1" applyAlignment="1" applyProtection="1">
      <alignment horizontal="center"/>
      <protection locked="0"/>
    </xf>
    <xf numFmtId="0" fontId="0" fillId="7" borderId="20" xfId="0" applyFill="1" applyBorder="1" applyAlignment="1" applyProtection="1">
      <alignment/>
      <protection locked="0"/>
    </xf>
    <xf numFmtId="0" fontId="1" fillId="7" borderId="27" xfId="0" applyFont="1" applyFill="1" applyBorder="1" applyAlignment="1" applyProtection="1">
      <alignment horizontal="right"/>
      <protection locked="0"/>
    </xf>
    <xf numFmtId="0" fontId="1" fillId="7" borderId="26" xfId="0" applyFont="1" applyFill="1" applyBorder="1" applyAlignment="1" applyProtection="1">
      <alignment horizontal="right"/>
      <protection locked="0"/>
    </xf>
    <xf numFmtId="0" fontId="0" fillId="7" borderId="26" xfId="0" applyFill="1" applyBorder="1" applyAlignment="1" applyProtection="1">
      <alignment horizontal="right"/>
      <protection locked="0"/>
    </xf>
    <xf numFmtId="0" fontId="1" fillId="7" borderId="29" xfId="0" applyFont="1" applyFill="1" applyBorder="1" applyAlignment="1" applyProtection="1">
      <alignment horizontal="right"/>
      <protection locked="0"/>
    </xf>
    <xf numFmtId="3" fontId="3" fillId="9" borderId="8" xfId="0" applyNumberFormat="1" applyFont="1" applyFill="1" applyBorder="1" applyAlignment="1" applyProtection="1">
      <alignment horizontal="right"/>
      <protection locked="0"/>
    </xf>
    <xf numFmtId="3" fontId="3" fillId="9" borderId="7" xfId="0" applyNumberFormat="1" applyFont="1" applyFill="1" applyBorder="1" applyAlignment="1" applyProtection="1">
      <alignment horizontal="right"/>
      <protection locked="0"/>
    </xf>
    <xf numFmtId="3" fontId="3" fillId="9" borderId="9" xfId="0" applyNumberFormat="1" applyFont="1" applyFill="1" applyBorder="1" applyAlignment="1" applyProtection="1">
      <alignment horizontal="right"/>
      <protection locked="0"/>
    </xf>
    <xf numFmtId="3" fontId="3" fillId="0" borderId="0" xfId="0" applyNumberFormat="1" applyFont="1" applyBorder="1" applyAlignment="1" applyProtection="1">
      <alignment horizontal="right"/>
      <protection locked="0"/>
    </xf>
    <xf numFmtId="0" fontId="1" fillId="3" borderId="0" xfId="0" applyFont="1" applyFill="1" applyBorder="1" applyAlignment="1" applyProtection="1">
      <alignment horizontal="center"/>
      <protection hidden="1"/>
    </xf>
    <xf numFmtId="1" fontId="1" fillId="3"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3" fontId="0" fillId="0" borderId="0" xfId="0" applyNumberFormat="1" applyFill="1" applyBorder="1" applyAlignment="1" applyProtection="1">
      <alignment horizontal="center"/>
      <protection hidden="1"/>
    </xf>
    <xf numFmtId="0" fontId="1" fillId="7" borderId="13" xfId="0" applyFont="1" applyFill="1" applyBorder="1" applyAlignment="1" applyProtection="1">
      <alignment horizontal="center"/>
      <protection hidden="1"/>
    </xf>
    <xf numFmtId="0" fontId="1" fillId="7" borderId="55" xfId="0" applyFont="1" applyFill="1" applyBorder="1" applyAlignment="1" applyProtection="1">
      <alignment horizontal="right"/>
      <protection hidden="1"/>
    </xf>
    <xf numFmtId="3" fontId="3" fillId="9" borderId="6" xfId="0" applyNumberFormat="1" applyFont="1" applyFill="1" applyBorder="1" applyAlignment="1" applyProtection="1">
      <alignment horizontal="right"/>
      <protection hidden="1"/>
    </xf>
    <xf numFmtId="0" fontId="1" fillId="0" borderId="66" xfId="0" applyFont="1" applyFill="1" applyBorder="1" applyAlignment="1" applyProtection="1">
      <alignment horizontal="center"/>
      <protection hidden="1"/>
    </xf>
    <xf numFmtId="3" fontId="1" fillId="9" borderId="66" xfId="0" applyNumberFormat="1" applyFont="1" applyFill="1" applyBorder="1" applyAlignment="1" applyProtection="1">
      <alignment horizontal="center"/>
      <protection hidden="1"/>
    </xf>
    <xf numFmtId="3" fontId="1" fillId="3" borderId="66" xfId="0" applyNumberFormat="1" applyFont="1" applyFill="1" applyBorder="1" applyAlignment="1" applyProtection="1">
      <alignment horizontal="center"/>
      <protection hidden="1"/>
    </xf>
    <xf numFmtId="3" fontId="1" fillId="10" borderId="66" xfId="0" applyNumberFormat="1" applyFont="1" applyFill="1" applyBorder="1" applyAlignment="1" applyProtection="1">
      <alignment horizontal="center"/>
      <protection hidden="1"/>
    </xf>
    <xf numFmtId="0" fontId="22" fillId="0" borderId="0" xfId="0" applyFont="1" applyAlignment="1">
      <alignment horizontal="center" wrapText="1"/>
    </xf>
    <xf numFmtId="3" fontId="1" fillId="10" borderId="16" xfId="0" applyNumberFormat="1" applyFont="1" applyFill="1" applyBorder="1" applyAlignment="1" applyProtection="1">
      <alignment horizontal="center"/>
      <protection hidden="1"/>
    </xf>
    <xf numFmtId="0" fontId="0" fillId="0" borderId="25" xfId="0" applyBorder="1" applyAlignment="1" applyProtection="1">
      <alignment horizontal="center"/>
      <protection hidden="1"/>
    </xf>
    <xf numFmtId="0" fontId="1" fillId="10" borderId="57" xfId="0" applyFont="1" applyFill="1" applyBorder="1" applyAlignment="1" applyProtection="1">
      <alignment horizontal="center"/>
      <protection hidden="1"/>
    </xf>
    <xf numFmtId="0" fontId="0" fillId="0" borderId="60" xfId="0" applyBorder="1" applyAlignment="1" applyProtection="1">
      <alignment horizontal="center"/>
      <protection hidden="1"/>
    </xf>
    <xf numFmtId="3" fontId="1" fillId="3" borderId="18" xfId="0" applyNumberFormat="1" applyFont="1" applyFill="1" applyBorder="1" applyAlignment="1" applyProtection="1">
      <alignment horizontal="center"/>
      <protection hidden="1"/>
    </xf>
    <xf numFmtId="0" fontId="0" fillId="0" borderId="17" xfId="0" applyBorder="1" applyAlignment="1" applyProtection="1">
      <alignment horizontal="center"/>
      <protection hidden="1"/>
    </xf>
    <xf numFmtId="3" fontId="1" fillId="3" borderId="13" xfId="0" applyNumberFormat="1" applyFont="1" applyFill="1" applyBorder="1" applyAlignment="1" applyProtection="1">
      <alignment horizontal="center"/>
      <protection hidden="1"/>
    </xf>
    <xf numFmtId="0" fontId="0" fillId="0" borderId="41" xfId="0" applyBorder="1" applyAlignment="1" applyProtection="1">
      <alignment horizontal="center"/>
      <protection hidden="1"/>
    </xf>
    <xf numFmtId="3" fontId="1" fillId="3" borderId="16" xfId="0" applyNumberFormat="1" applyFont="1" applyFill="1" applyBorder="1" applyAlignment="1" applyProtection="1">
      <alignment horizontal="center"/>
      <protection hidden="1"/>
    </xf>
    <xf numFmtId="3" fontId="1" fillId="3" borderId="10" xfId="0" applyNumberFormat="1" applyFont="1" applyFill="1" applyBorder="1" applyAlignment="1" applyProtection="1">
      <alignment horizontal="center"/>
      <protection hidden="1"/>
    </xf>
    <xf numFmtId="0" fontId="0" fillId="0" borderId="20" xfId="0" applyBorder="1" applyAlignment="1" applyProtection="1">
      <alignment horizont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ding\My%20Documents\ACD%20(or%20CM)%20%20PG%20to%20CC%20Traffic%20Bandwidth%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jor Factors &amp; Volume Summary"/>
      <sheetName val="Overheads"/>
      <sheetName val="Messages"/>
      <sheetName val="Flows"/>
      <sheetName val="Volume Details"/>
      <sheetName val="Bandwidth Requirements"/>
    </sheetNames>
    <sheetDataSet>
      <sheetData sheetId="0">
        <row r="8">
          <cell r="G8">
            <v>2</v>
          </cell>
        </row>
        <row r="11">
          <cell r="G11">
            <v>2</v>
          </cell>
        </row>
        <row r="12">
          <cell r="G12">
            <v>1</v>
          </cell>
        </row>
        <row r="27">
          <cell r="G27">
            <v>0</v>
          </cell>
        </row>
        <row r="28">
          <cell r="G28">
            <v>1</v>
          </cell>
        </row>
        <row r="29">
          <cell r="G29">
            <v>0</v>
          </cell>
        </row>
      </sheetData>
      <sheetData sheetId="4">
        <row r="15">
          <cell r="H15">
            <v>24625.853333333333</v>
          </cell>
          <cell r="J15">
            <v>82567.7368888889</v>
          </cell>
          <cell r="L15">
            <v>49800.757688888894</v>
          </cell>
        </row>
        <row r="28">
          <cell r="H28">
            <v>39038.56533333334</v>
          </cell>
          <cell r="J28">
            <v>2485.829466666667</v>
          </cell>
          <cell r="L28">
            <v>1504.7896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8"/>
  <sheetViews>
    <sheetView tabSelected="1" workbookViewId="0" topLeftCell="A1">
      <selection activeCell="J54" sqref="J54"/>
    </sheetView>
  </sheetViews>
  <sheetFormatPr defaultColWidth="9.140625" defaultRowHeight="12.75" outlineLevelRow="1"/>
  <cols>
    <col min="1" max="1" width="9.140625" style="499" customWidth="1"/>
    <col min="2" max="2" width="10.8515625" style="499" customWidth="1"/>
    <col min="3" max="3" width="9.140625" style="499" customWidth="1"/>
    <col min="4" max="4" width="11.00390625" style="499" customWidth="1"/>
    <col min="5" max="5" width="9.140625" style="499" customWidth="1"/>
    <col min="6" max="6" width="10.8515625" style="499" customWidth="1"/>
    <col min="7" max="7" width="13.140625" style="499" customWidth="1"/>
    <col min="8" max="16384" width="9.140625" style="499" customWidth="1"/>
  </cols>
  <sheetData>
    <row r="1" spans="1:8" s="498" customFormat="1" ht="15">
      <c r="A1" s="200"/>
      <c r="B1" s="200"/>
      <c r="C1" s="201" t="s">
        <v>289</v>
      </c>
      <c r="D1" s="200"/>
      <c r="E1" s="200"/>
      <c r="F1" s="200"/>
      <c r="G1" s="200"/>
      <c r="H1" s="499"/>
    </row>
    <row r="2" spans="1:7" ht="15">
      <c r="A2" s="202" t="s">
        <v>237</v>
      </c>
      <c r="B2" s="203"/>
      <c r="C2" s="203"/>
      <c r="D2" s="202" t="s">
        <v>243</v>
      </c>
      <c r="E2" s="203"/>
      <c r="F2" s="203"/>
      <c r="G2" s="203"/>
    </row>
    <row r="3" spans="1:7" ht="15">
      <c r="A3" s="204" t="s">
        <v>241</v>
      </c>
      <c r="B3" s="205"/>
      <c r="C3" s="203"/>
      <c r="D3" s="203"/>
      <c r="E3" s="203"/>
      <c r="F3" s="203"/>
      <c r="G3" s="203"/>
    </row>
    <row r="4" spans="1:8" ht="12.75">
      <c r="A4" s="203"/>
      <c r="B4" s="206"/>
      <c r="C4" s="206"/>
      <c r="D4" s="206"/>
      <c r="E4" s="206"/>
      <c r="F4" s="206"/>
      <c r="G4" s="206"/>
      <c r="H4" s="500"/>
    </row>
    <row r="5" spans="1:8" ht="12.75">
      <c r="A5" s="207" t="s">
        <v>291</v>
      </c>
      <c r="B5" s="208"/>
      <c r="C5" s="208"/>
      <c r="D5" s="208"/>
      <c r="E5" s="208"/>
      <c r="F5" s="209"/>
      <c r="G5" s="191">
        <v>1</v>
      </c>
      <c r="H5" s="501"/>
    </row>
    <row r="6" spans="1:8" ht="12.75" hidden="1" outlineLevel="1">
      <c r="A6" s="210" t="s">
        <v>119</v>
      </c>
      <c r="B6" s="211"/>
      <c r="C6" s="211"/>
      <c r="D6" s="211"/>
      <c r="E6" s="211"/>
      <c r="F6" s="212"/>
      <c r="G6" s="193">
        <v>30</v>
      </c>
      <c r="H6" s="500"/>
    </row>
    <row r="7" spans="1:8" ht="12.75" hidden="1" outlineLevel="1">
      <c r="A7" s="210" t="s">
        <v>120</v>
      </c>
      <c r="B7" s="211"/>
      <c r="C7" s="211"/>
      <c r="D7" s="211"/>
      <c r="E7" s="211"/>
      <c r="F7" s="212"/>
      <c r="G7" s="193">
        <v>30</v>
      </c>
      <c r="H7" s="500"/>
    </row>
    <row r="8" spans="1:8" ht="12.75" hidden="1" outlineLevel="1">
      <c r="A8" s="210" t="s">
        <v>191</v>
      </c>
      <c r="B8" s="211"/>
      <c r="C8" s="211"/>
      <c r="D8" s="211"/>
      <c r="E8" s="211"/>
      <c r="F8" s="212"/>
      <c r="G8" s="193">
        <v>30</v>
      </c>
      <c r="H8" s="500"/>
    </row>
    <row r="9" spans="1:8" ht="12.75" hidden="1" outlineLevel="1">
      <c r="A9" s="210" t="s">
        <v>121</v>
      </c>
      <c r="B9" s="211"/>
      <c r="C9" s="211"/>
      <c r="D9" s="211"/>
      <c r="E9" s="211"/>
      <c r="F9" s="212"/>
      <c r="G9" s="193">
        <v>30</v>
      </c>
      <c r="H9" s="500"/>
    </row>
    <row r="10" spans="1:8" ht="12.75" hidden="1" outlineLevel="1">
      <c r="A10" s="213"/>
      <c r="B10" s="212"/>
      <c r="C10" s="212"/>
      <c r="D10" s="212"/>
      <c r="E10" s="212"/>
      <c r="F10" s="212"/>
      <c r="G10" s="195"/>
      <c r="H10" s="502"/>
    </row>
    <row r="11" spans="1:8" ht="15" hidden="1" outlineLevel="1">
      <c r="A11" s="214" t="s">
        <v>142</v>
      </c>
      <c r="B11" s="212"/>
      <c r="C11" s="212"/>
      <c r="D11" s="212"/>
      <c r="E11" s="212"/>
      <c r="F11" s="212"/>
      <c r="G11" s="195"/>
      <c r="H11" s="500"/>
    </row>
    <row r="12" spans="1:8" ht="15" hidden="1" outlineLevel="1">
      <c r="A12" s="214"/>
      <c r="B12" s="212"/>
      <c r="C12" s="212"/>
      <c r="D12" s="212"/>
      <c r="E12" s="212"/>
      <c r="F12" s="212"/>
      <c r="G12" s="195"/>
      <c r="H12" s="500"/>
    </row>
    <row r="13" spans="1:8" ht="12.75" collapsed="1">
      <c r="A13" s="207" t="s">
        <v>110</v>
      </c>
      <c r="B13" s="208"/>
      <c r="C13" s="208"/>
      <c r="D13" s="208"/>
      <c r="E13" s="208"/>
      <c r="F13" s="209"/>
      <c r="G13" s="191">
        <v>20000</v>
      </c>
      <c r="H13" s="501"/>
    </row>
    <row r="14" spans="1:8" ht="12.75" hidden="1" outlineLevel="1">
      <c r="A14" s="215"/>
      <c r="B14" s="211"/>
      <c r="C14" s="211"/>
      <c r="D14" s="211"/>
      <c r="E14" s="211"/>
      <c r="F14" s="212"/>
      <c r="G14" s="196"/>
      <c r="H14" s="501"/>
    </row>
    <row r="15" spans="1:8" ht="15" hidden="1" outlineLevel="1">
      <c r="A15" s="214" t="s">
        <v>178</v>
      </c>
      <c r="B15" s="212"/>
      <c r="C15" s="212"/>
      <c r="D15" s="212"/>
      <c r="E15" s="212"/>
      <c r="F15" s="212"/>
      <c r="G15" s="195"/>
      <c r="H15" s="501"/>
    </row>
    <row r="16" spans="1:8" ht="15" hidden="1" outlineLevel="1">
      <c r="A16" s="214"/>
      <c r="B16" s="212"/>
      <c r="C16" s="212"/>
      <c r="D16" s="212"/>
      <c r="E16" s="212"/>
      <c r="F16" s="212"/>
      <c r="G16" s="195"/>
      <c r="H16" s="501"/>
    </row>
    <row r="17" spans="1:8" ht="12.75" collapsed="1">
      <c r="A17" s="207" t="s">
        <v>179</v>
      </c>
      <c r="B17" s="208"/>
      <c r="C17" s="208"/>
      <c r="D17" s="208"/>
      <c r="E17" s="208"/>
      <c r="F17" s="209"/>
      <c r="G17" s="197">
        <v>0.6</v>
      </c>
      <c r="H17" s="501"/>
    </row>
    <row r="18" spans="1:9" ht="12.75">
      <c r="A18" s="207" t="s">
        <v>230</v>
      </c>
      <c r="B18" s="208"/>
      <c r="C18" s="208"/>
      <c r="D18" s="208"/>
      <c r="E18" s="208"/>
      <c r="F18" s="209"/>
      <c r="G18" s="198">
        <v>2</v>
      </c>
      <c r="H18" s="501"/>
      <c r="I18" s="503"/>
    </row>
    <row r="19" spans="1:15" ht="15">
      <c r="A19" s="207" t="s">
        <v>242</v>
      </c>
      <c r="B19" s="209"/>
      <c r="C19" s="209"/>
      <c r="D19" s="209"/>
      <c r="E19" s="209"/>
      <c r="F19" s="209"/>
      <c r="G19" s="199">
        <v>500</v>
      </c>
      <c r="H19" s="504"/>
      <c r="I19" s="504"/>
      <c r="J19" s="505"/>
      <c r="K19" s="506"/>
      <c r="L19" s="506"/>
      <c r="M19" s="504"/>
      <c r="N19" s="504"/>
      <c r="O19" s="504"/>
    </row>
    <row r="20" spans="1:8" ht="15" hidden="1" outlineLevel="1">
      <c r="A20" s="201" t="s">
        <v>181</v>
      </c>
      <c r="B20" s="201"/>
      <c r="C20" s="216"/>
      <c r="D20" s="217"/>
      <c r="E20" s="217"/>
      <c r="F20" s="217"/>
      <c r="G20" s="217"/>
      <c r="H20" s="503"/>
    </row>
    <row r="21" spans="1:8" ht="12.75" hidden="1" outlineLevel="1">
      <c r="A21" s="216"/>
      <c r="B21" s="216"/>
      <c r="C21" s="216"/>
      <c r="D21" s="217"/>
      <c r="E21" s="217"/>
      <c r="F21" s="217"/>
      <c r="G21" s="217"/>
      <c r="H21" s="503"/>
    </row>
    <row r="22" spans="1:8" ht="12.75" hidden="1" outlineLevel="1">
      <c r="A22" s="218" t="s">
        <v>37</v>
      </c>
      <c r="B22" s="218" t="s">
        <v>33</v>
      </c>
      <c r="C22" s="218"/>
      <c r="D22" s="218"/>
      <c r="E22" s="219" t="s">
        <v>62</v>
      </c>
      <c r="F22" s="218"/>
      <c r="G22" s="219" t="s">
        <v>38</v>
      </c>
      <c r="H22" s="507"/>
    </row>
    <row r="23" spans="1:8" s="509" customFormat="1" ht="12.75" hidden="1" outlineLevel="1">
      <c r="A23" s="220" t="s">
        <v>40</v>
      </c>
      <c r="B23" s="221" t="s">
        <v>168</v>
      </c>
      <c r="C23" s="222"/>
      <c r="D23" s="223"/>
      <c r="E23" s="224" t="s">
        <v>94</v>
      </c>
      <c r="F23" s="222"/>
      <c r="G23" s="524">
        <v>1</v>
      </c>
      <c r="H23" s="508"/>
    </row>
    <row r="24" spans="1:8" ht="12.75" hidden="1" outlineLevel="1">
      <c r="A24" s="225" t="s">
        <v>39</v>
      </c>
      <c r="B24" s="226" t="s">
        <v>34</v>
      </c>
      <c r="C24" s="227"/>
      <c r="D24" s="228"/>
      <c r="E24" s="229" t="s">
        <v>94</v>
      </c>
      <c r="F24" s="227"/>
      <c r="G24" s="524">
        <v>1</v>
      </c>
      <c r="H24" s="501"/>
    </row>
    <row r="25" spans="1:8" ht="12.75" hidden="1" outlineLevel="1">
      <c r="A25" s="225" t="s">
        <v>40</v>
      </c>
      <c r="B25" s="226" t="s">
        <v>35</v>
      </c>
      <c r="C25" s="227"/>
      <c r="D25" s="228"/>
      <c r="E25" s="229" t="s">
        <v>94</v>
      </c>
      <c r="F25" s="227"/>
      <c r="G25" s="525">
        <f>G18</f>
        <v>2</v>
      </c>
      <c r="H25" s="501"/>
    </row>
    <row r="26" spans="1:8" ht="12.75" hidden="1" outlineLevel="1">
      <c r="A26" s="225" t="s">
        <v>39</v>
      </c>
      <c r="B26" s="226" t="s">
        <v>36</v>
      </c>
      <c r="C26" s="227"/>
      <c r="D26" s="228"/>
      <c r="E26" s="229" t="s">
        <v>94</v>
      </c>
      <c r="F26" s="227"/>
      <c r="G26" s="525">
        <f>G18</f>
        <v>2</v>
      </c>
      <c r="H26" s="501"/>
    </row>
    <row r="27" spans="1:8" ht="12.75" hidden="1" outlineLevel="1">
      <c r="A27" s="225" t="s">
        <v>39</v>
      </c>
      <c r="B27" s="226" t="s">
        <v>44</v>
      </c>
      <c r="C27" s="227"/>
      <c r="D27" s="228"/>
      <c r="E27" s="229" t="s">
        <v>94</v>
      </c>
      <c r="F27" s="227"/>
      <c r="G27" s="524">
        <v>0</v>
      </c>
      <c r="H27" s="501"/>
    </row>
    <row r="28" spans="1:8" ht="12.75" hidden="1" outlineLevel="1">
      <c r="A28" s="225" t="s">
        <v>40</v>
      </c>
      <c r="B28" s="226" t="s">
        <v>41</v>
      </c>
      <c r="C28" s="227"/>
      <c r="D28" s="228"/>
      <c r="E28" s="229" t="s">
        <v>94</v>
      </c>
      <c r="F28" s="227"/>
      <c r="G28" s="524">
        <v>1</v>
      </c>
      <c r="H28" s="501"/>
    </row>
    <row r="29" spans="1:8" ht="12.75" hidden="1" outlineLevel="1">
      <c r="A29" s="225" t="s">
        <v>39</v>
      </c>
      <c r="B29" s="226" t="s">
        <v>42</v>
      </c>
      <c r="C29" s="227"/>
      <c r="D29" s="228"/>
      <c r="E29" s="229" t="s">
        <v>94</v>
      </c>
      <c r="F29" s="227"/>
      <c r="G29" s="524">
        <v>1</v>
      </c>
      <c r="H29" s="501"/>
    </row>
    <row r="30" spans="1:8" ht="12.75" hidden="1" outlineLevel="1">
      <c r="A30" s="225" t="s">
        <v>39</v>
      </c>
      <c r="B30" s="226" t="s">
        <v>43</v>
      </c>
      <c r="C30" s="227"/>
      <c r="D30" s="228"/>
      <c r="E30" s="229" t="s">
        <v>94</v>
      </c>
      <c r="F30" s="227"/>
      <c r="G30" s="524">
        <v>1</v>
      </c>
      <c r="H30" s="501"/>
    </row>
    <row r="31" spans="1:8" ht="12.75" hidden="1" outlineLevel="1">
      <c r="A31" s="225" t="s">
        <v>39</v>
      </c>
      <c r="B31" s="226" t="s">
        <v>140</v>
      </c>
      <c r="C31" s="227"/>
      <c r="D31" s="228"/>
      <c r="E31" s="229" t="s">
        <v>96</v>
      </c>
      <c r="F31" s="227"/>
      <c r="G31" s="524">
        <v>1</v>
      </c>
      <c r="H31" s="501"/>
    </row>
    <row r="32" spans="1:8" s="503" customFormat="1" ht="12.75" hidden="1" outlineLevel="1">
      <c r="A32" s="230"/>
      <c r="B32" s="231"/>
      <c r="C32" s="232"/>
      <c r="D32" s="233"/>
      <c r="E32" s="234"/>
      <c r="F32" s="232"/>
      <c r="G32" s="526"/>
      <c r="H32" s="510"/>
    </row>
    <row r="33" spans="1:8" ht="12.75" hidden="1" outlineLevel="1">
      <c r="A33" s="235" t="s">
        <v>180</v>
      </c>
      <c r="B33" s="236"/>
      <c r="C33" s="237"/>
      <c r="D33" s="232"/>
      <c r="E33" s="238"/>
      <c r="F33" s="232"/>
      <c r="G33" s="526"/>
      <c r="H33" s="510"/>
    </row>
    <row r="34" spans="1:8" ht="12.75" hidden="1" outlineLevel="1">
      <c r="A34" s="230" t="s">
        <v>40</v>
      </c>
      <c r="B34" s="231" t="s">
        <v>176</v>
      </c>
      <c r="C34" s="232"/>
      <c r="D34" s="233"/>
      <c r="E34" s="234" t="s">
        <v>94</v>
      </c>
      <c r="F34" s="232"/>
      <c r="G34" s="526">
        <f>IF(G17&gt;0,1,0)</f>
        <v>1</v>
      </c>
      <c r="H34" s="510"/>
    </row>
    <row r="35" spans="1:8" ht="12.75" hidden="1" outlineLevel="1">
      <c r="A35" s="230" t="s">
        <v>40</v>
      </c>
      <c r="B35" s="231" t="s">
        <v>35</v>
      </c>
      <c r="C35" s="232"/>
      <c r="D35" s="233"/>
      <c r="E35" s="234" t="s">
        <v>94</v>
      </c>
      <c r="F35" s="232"/>
      <c r="G35" s="526">
        <f>IF(G17&gt;0,1,0)</f>
        <v>1</v>
      </c>
      <c r="H35" s="510"/>
    </row>
    <row r="36" spans="1:8" ht="12.75" hidden="1" outlineLevel="1">
      <c r="A36" s="230" t="s">
        <v>40</v>
      </c>
      <c r="B36" s="231" t="s">
        <v>177</v>
      </c>
      <c r="C36" s="232"/>
      <c r="D36" s="233"/>
      <c r="E36" s="234" t="s">
        <v>94</v>
      </c>
      <c r="F36" s="232"/>
      <c r="G36" s="526">
        <f>IF(G17&gt;0,1,0)</f>
        <v>1</v>
      </c>
      <c r="H36" s="510"/>
    </row>
    <row r="37" spans="1:8" ht="13.5" hidden="1" outlineLevel="1" thickBot="1">
      <c r="A37" s="239"/>
      <c r="B37" s="240"/>
      <c r="C37" s="241"/>
      <c r="D37" s="242"/>
      <c r="E37" s="243"/>
      <c r="F37" s="241"/>
      <c r="G37" s="527"/>
      <c r="H37" s="511"/>
    </row>
    <row r="38" spans="1:8" ht="12.75" hidden="1" outlineLevel="1">
      <c r="A38" s="218" t="s">
        <v>137</v>
      </c>
      <c r="B38" s="218"/>
      <c r="C38" s="232"/>
      <c r="D38" s="232"/>
      <c r="E38" s="232"/>
      <c r="F38" s="232"/>
      <c r="G38" s="528">
        <f>SUM(G24*SizeOfReqInstr,G26*SizeOfScriptResp,G27*SizeOfNewCall,G29*SizeOfCallEvent,G30*SizeOfCallEvent)*8+OverheadOfProtocolHeader*SUM(G24,G26,G27,G29,G30)*8</f>
        <v>12848</v>
      </c>
      <c r="H38" s="501"/>
    </row>
    <row r="39" spans="1:8" ht="12.75" hidden="1" outlineLevel="1">
      <c r="A39" s="218" t="s">
        <v>138</v>
      </c>
      <c r="B39" s="218"/>
      <c r="C39" s="232"/>
      <c r="D39" s="232"/>
      <c r="E39" s="232"/>
      <c r="F39" s="232"/>
      <c r="G39" s="528">
        <f>(SUM(G23*SizeOfVRUQueueService,G25*SizeOfRunScript,G28*SizeOfConnect)+OverheadOfProtocolHeader*SUM(G23,G25,G28))*8+G17*(SUM(G34*SizeOfVRUQueueEvent,G36*SizeOfVRUQueueEvent,G35*SizeOfRunScript)+OverheadOfProtocolHeader*SUM(G34,G35,G36))*8</f>
        <v>18238.4</v>
      </c>
      <c r="H39" s="501"/>
    </row>
    <row r="40" spans="1:8" ht="12.75" hidden="1" outlineLevel="1">
      <c r="A40" s="218" t="s">
        <v>139</v>
      </c>
      <c r="B40" s="218"/>
      <c r="C40" s="232"/>
      <c r="D40" s="232"/>
      <c r="E40" s="232"/>
      <c r="F40" s="232"/>
      <c r="G40" s="528">
        <f>G31*(SizeOfMsgClosedCallRecord+OverheadOfProtocolHeader/5)*8</f>
        <v>2124.8</v>
      </c>
      <c r="H40" s="501"/>
    </row>
    <row r="41" spans="1:8" ht="12.75" hidden="1" outlineLevel="1">
      <c r="A41" s="218"/>
      <c r="B41" s="218"/>
      <c r="C41" s="232"/>
      <c r="D41" s="232"/>
      <c r="E41" s="232"/>
      <c r="F41" s="232"/>
      <c r="G41" s="528"/>
      <c r="H41" s="501"/>
    </row>
    <row r="42" spans="1:12" ht="15" hidden="1" outlineLevel="1">
      <c r="A42" s="244" t="s">
        <v>227</v>
      </c>
      <c r="B42" s="244"/>
      <c r="C42" s="244"/>
      <c r="D42" s="203"/>
      <c r="E42" s="245"/>
      <c r="F42" s="203"/>
      <c r="G42" s="203"/>
      <c r="K42" s="512"/>
      <c r="L42" s="501"/>
    </row>
    <row r="43" spans="1:15" ht="15" hidden="1" outlineLevel="1">
      <c r="A43" s="244" t="s">
        <v>228</v>
      </c>
      <c r="B43" s="244"/>
      <c r="C43" s="244"/>
      <c r="D43" s="244"/>
      <c r="E43" s="244"/>
      <c r="F43" s="244"/>
      <c r="G43" s="244"/>
      <c r="H43" s="504"/>
      <c r="I43" s="504"/>
      <c r="J43" s="505"/>
      <c r="K43" s="506"/>
      <c r="L43" s="506"/>
      <c r="M43" s="504"/>
      <c r="N43" s="504"/>
      <c r="O43" s="504"/>
    </row>
    <row r="44" spans="1:7" ht="12.75" hidden="1" outlineLevel="1">
      <c r="A44" s="203"/>
      <c r="B44" s="203"/>
      <c r="C44" s="203"/>
      <c r="D44" s="203"/>
      <c r="E44" s="203"/>
      <c r="F44" s="203"/>
      <c r="G44" s="203"/>
    </row>
    <row r="45" spans="1:7" ht="15" hidden="1" outlineLevel="1">
      <c r="A45" s="246" t="s">
        <v>211</v>
      </c>
      <c r="B45" s="203"/>
      <c r="C45" s="203"/>
      <c r="D45" s="203"/>
      <c r="E45" s="203"/>
      <c r="F45" s="203"/>
      <c r="G45" s="203"/>
    </row>
    <row r="46" spans="1:7" ht="15.75" hidden="1" outlineLevel="1" thickBot="1">
      <c r="A46" s="246"/>
      <c r="B46" s="203"/>
      <c r="C46" s="203"/>
      <c r="D46" s="203"/>
      <c r="E46" s="203"/>
      <c r="F46" s="203"/>
      <c r="G46" s="203"/>
    </row>
    <row r="47" spans="1:12" ht="12.75" hidden="1" outlineLevel="1">
      <c r="A47" s="247"/>
      <c r="B47" s="248"/>
      <c r="C47" s="248"/>
      <c r="D47" s="248" t="s">
        <v>39</v>
      </c>
      <c r="E47" s="249"/>
      <c r="F47" s="250"/>
      <c r="G47" s="529"/>
      <c r="H47" s="513"/>
      <c r="I47" s="513"/>
      <c r="J47" s="513" t="s">
        <v>40</v>
      </c>
      <c r="K47" s="514"/>
      <c r="L47" s="515"/>
    </row>
    <row r="48" spans="1:12" ht="12.75" hidden="1" outlineLevel="1">
      <c r="A48" s="251"/>
      <c r="B48" s="252" t="s">
        <v>94</v>
      </c>
      <c r="C48" s="253"/>
      <c r="D48" s="252" t="s">
        <v>95</v>
      </c>
      <c r="E48" s="254"/>
      <c r="F48" s="255" t="s">
        <v>96</v>
      </c>
      <c r="G48" s="530"/>
      <c r="H48" s="516" t="s">
        <v>94</v>
      </c>
      <c r="I48" s="517"/>
      <c r="J48" s="516" t="s">
        <v>95</v>
      </c>
      <c r="K48" s="518"/>
      <c r="L48" s="519" t="s">
        <v>96</v>
      </c>
    </row>
    <row r="49" spans="1:12" ht="13.5" hidden="1" outlineLevel="1" thickBot="1">
      <c r="A49" s="256"/>
      <c r="B49" s="257">
        <f>VolOfTrafficToCCHigh</f>
        <v>87638.29688888889</v>
      </c>
      <c r="C49" s="258"/>
      <c r="D49" s="257">
        <f>VolOfTrafficToCCMedium</f>
        <v>9334.873185185184</v>
      </c>
      <c r="E49" s="258"/>
      <c r="F49" s="259">
        <f>VolOfTrafficToCCLow</f>
        <v>11877.449955555556</v>
      </c>
      <c r="G49" s="531"/>
      <c r="H49" s="520">
        <f>VolOfTrafficFrCCHigh</f>
        <v>107047.24266666666</v>
      </c>
      <c r="I49" s="521"/>
      <c r="J49" s="520">
        <f>VolOfTrafficFrCCMedium</f>
        <v>1222.322074074074</v>
      </c>
      <c r="K49" s="521"/>
      <c r="L49" s="522">
        <f>VolOfTrafficFrCCLow</f>
        <v>485.8670222222222</v>
      </c>
    </row>
    <row r="50" spans="1:12" ht="12.75" hidden="1" outlineLevel="1">
      <c r="A50" s="260"/>
      <c r="B50" s="261"/>
      <c r="C50" s="261"/>
      <c r="D50" s="261"/>
      <c r="E50" s="261"/>
      <c r="F50" s="261"/>
      <c r="G50" s="261"/>
      <c r="H50" s="523"/>
      <c r="I50" s="523"/>
      <c r="J50" s="523"/>
      <c r="K50" s="523"/>
      <c r="L50" s="523"/>
    </row>
    <row r="51" spans="1:12" ht="15" hidden="1" outlineLevel="1">
      <c r="A51" s="244" t="s">
        <v>229</v>
      </c>
      <c r="B51" s="261"/>
      <c r="C51" s="261"/>
      <c r="D51" s="261"/>
      <c r="E51" s="261"/>
      <c r="F51" s="261"/>
      <c r="G51" s="261"/>
      <c r="H51" s="523"/>
      <c r="I51" s="523"/>
      <c r="J51" s="523"/>
      <c r="K51" s="523"/>
      <c r="L51" s="523"/>
    </row>
    <row r="52" spans="1:12" ht="12.75" collapsed="1">
      <c r="A52" s="203"/>
      <c r="B52" s="262"/>
      <c r="C52" s="262"/>
      <c r="D52" s="262"/>
      <c r="E52" s="262"/>
      <c r="F52" s="262"/>
      <c r="G52" s="262"/>
      <c r="J52" s="500"/>
      <c r="K52" s="523"/>
      <c r="L52" s="523"/>
    </row>
    <row r="53" spans="1:8" ht="15">
      <c r="A53" s="202" t="s">
        <v>231</v>
      </c>
      <c r="B53" s="203"/>
      <c r="C53" s="203"/>
      <c r="D53" s="203"/>
      <c r="E53" s="203"/>
      <c r="F53" s="203"/>
      <c r="G53" s="203"/>
      <c r="H53" s="499" t="s">
        <v>223</v>
      </c>
    </row>
    <row r="54" spans="1:7" ht="15">
      <c r="A54" s="204" t="s">
        <v>222</v>
      </c>
      <c r="B54" s="246"/>
      <c r="C54" s="246"/>
      <c r="D54" s="246"/>
      <c r="E54" s="246"/>
      <c r="F54" s="203"/>
      <c r="G54" s="203"/>
    </row>
    <row r="55" spans="1:7" ht="13.5" thickBot="1">
      <c r="A55" s="203"/>
      <c r="B55" s="203"/>
      <c r="C55" s="203"/>
      <c r="D55" s="203"/>
      <c r="E55" s="203"/>
      <c r="F55" s="203"/>
      <c r="G55" s="203"/>
    </row>
    <row r="56" spans="1:7" ht="13.5" thickBot="1">
      <c r="A56" s="543" t="s">
        <v>239</v>
      </c>
      <c r="B56" s="544"/>
      <c r="C56" s="546" t="s">
        <v>240</v>
      </c>
      <c r="D56" s="547"/>
      <c r="E56" s="539" t="s">
        <v>238</v>
      </c>
      <c r="F56" s="540"/>
      <c r="G56" s="532" t="s">
        <v>236</v>
      </c>
    </row>
    <row r="57" spans="1:7" ht="13.5" thickBot="1">
      <c r="A57" s="541">
        <f>MAX(Bandwidth!D26,Bandwidth!G26)</f>
        <v>184155.00193103447</v>
      </c>
      <c r="B57" s="542"/>
      <c r="C57" s="545">
        <f>MAX(Bandwidth!E26,Bandwidth!H26)</f>
        <v>22585.77644444444</v>
      </c>
      <c r="D57" s="538"/>
      <c r="E57" s="537">
        <f>MAX(Bandwidth!F26,Bandwidth!I26)</f>
        <v>17866.494933333335</v>
      </c>
      <c r="F57" s="538"/>
      <c r="G57" s="533">
        <f>SUM(A57:E57)</f>
        <v>224607.27330881223</v>
      </c>
    </row>
    <row r="58" spans="1:7" ht="12.75">
      <c r="A58" s="203"/>
      <c r="B58" s="203"/>
      <c r="C58" s="203"/>
      <c r="D58" s="203"/>
      <c r="E58" s="203"/>
      <c r="F58" s="203"/>
      <c r="G58" s="203"/>
    </row>
    <row r="59" spans="1:7" ht="15.75">
      <c r="A59" s="263" t="s">
        <v>232</v>
      </c>
      <c r="B59" s="203"/>
      <c r="C59" s="203"/>
      <c r="D59" s="203"/>
      <c r="E59" s="203"/>
      <c r="F59" s="203"/>
      <c r="G59" s="203"/>
    </row>
    <row r="60" spans="1:7" ht="13.5" thickBot="1">
      <c r="A60" s="203"/>
      <c r="B60" s="203"/>
      <c r="C60" s="203"/>
      <c r="D60" s="203"/>
      <c r="E60" s="203"/>
      <c r="F60" s="203"/>
      <c r="G60" s="203"/>
    </row>
    <row r="61" spans="1:7" ht="15.75" thickBot="1">
      <c r="A61" s="264" t="s">
        <v>233</v>
      </c>
      <c r="B61" s="265"/>
      <c r="C61" s="265"/>
      <c r="D61" s="265"/>
      <c r="E61" s="265"/>
      <c r="F61" s="265"/>
      <c r="G61" s="534">
        <f>A57+C57</f>
        <v>206740.7783754789</v>
      </c>
    </row>
    <row r="62" spans="1:7" ht="15.75" thickBot="1">
      <c r="A62" s="266" t="s">
        <v>234</v>
      </c>
      <c r="B62" s="267"/>
      <c r="C62" s="267"/>
      <c r="D62" s="267"/>
      <c r="E62" s="267"/>
      <c r="F62" s="267"/>
      <c r="G62" s="535">
        <f>E57</f>
        <v>17866.494933333335</v>
      </c>
    </row>
    <row r="63" spans="1:7" ht="12.75">
      <c r="A63" s="203"/>
      <c r="B63" s="203"/>
      <c r="C63" s="203"/>
      <c r="D63" s="203"/>
      <c r="E63" s="203"/>
      <c r="F63" s="203"/>
      <c r="G63" s="203"/>
    </row>
    <row r="64" spans="1:7" ht="12.75">
      <c r="A64" s="268" t="s">
        <v>235</v>
      </c>
      <c r="B64" s="203"/>
      <c r="C64" s="203"/>
      <c r="D64" s="203"/>
      <c r="E64" s="203"/>
      <c r="F64" s="203"/>
      <c r="G64" s="203"/>
    </row>
    <row r="65" ht="12.75"/>
    <row r="66" ht="12.75"/>
    <row r="67" ht="12.75"/>
    <row r="68" ht="12.75">
      <c r="C68" s="499" t="s">
        <v>223</v>
      </c>
    </row>
    <row r="69" ht="12.75"/>
    <row r="70" ht="12.75"/>
    <row r="71" ht="12.75"/>
    <row r="72" ht="12.75"/>
  </sheetData>
  <mergeCells count="6">
    <mergeCell ref="E57:F57"/>
    <mergeCell ref="E56:F56"/>
    <mergeCell ref="A57:B57"/>
    <mergeCell ref="A56:B56"/>
    <mergeCell ref="C57:D57"/>
    <mergeCell ref="C56:D56"/>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83"/>
  <sheetViews>
    <sheetView workbookViewId="0" topLeftCell="A1">
      <selection activeCell="A6" sqref="A6"/>
    </sheetView>
  </sheetViews>
  <sheetFormatPr defaultColWidth="9.140625" defaultRowHeight="12.75"/>
  <cols>
    <col min="1" max="1" width="118.7109375" style="0" customWidth="1"/>
  </cols>
  <sheetData>
    <row r="1" ht="20.25">
      <c r="A1" s="493" t="s">
        <v>244</v>
      </c>
    </row>
    <row r="2" ht="20.25">
      <c r="A2" s="493" t="s">
        <v>245</v>
      </c>
    </row>
    <row r="3" ht="18.75">
      <c r="A3" s="536" t="s">
        <v>288</v>
      </c>
    </row>
    <row r="4" ht="15.75">
      <c r="A4" s="495" t="s">
        <v>246</v>
      </c>
    </row>
    <row r="5" ht="15.75">
      <c r="A5" s="496"/>
    </row>
    <row r="6" ht="15.75">
      <c r="A6" s="496" t="s">
        <v>247</v>
      </c>
    </row>
    <row r="7" ht="15.75">
      <c r="A7" s="496"/>
    </row>
    <row r="8" ht="31.5">
      <c r="A8" s="496" t="s">
        <v>290</v>
      </c>
    </row>
    <row r="9" ht="15.75">
      <c r="A9" s="496"/>
    </row>
    <row r="10" ht="31.5">
      <c r="A10" s="496" t="s">
        <v>248</v>
      </c>
    </row>
    <row r="11" ht="15.75">
      <c r="A11" s="496"/>
    </row>
    <row r="12" ht="63">
      <c r="A12" s="496" t="s">
        <v>249</v>
      </c>
    </row>
    <row r="13" ht="15.75">
      <c r="A13" s="496"/>
    </row>
    <row r="14" ht="94.5">
      <c r="A14" s="496" t="s">
        <v>250</v>
      </c>
    </row>
    <row r="15" ht="15.75">
      <c r="A15" s="496"/>
    </row>
    <row r="16" ht="15.75">
      <c r="A16" s="495" t="s">
        <v>251</v>
      </c>
    </row>
    <row r="17" ht="15.75">
      <c r="A17" s="496"/>
    </row>
    <row r="18" ht="78.75">
      <c r="A18" s="496" t="s">
        <v>252</v>
      </c>
    </row>
    <row r="19" ht="15.75">
      <c r="A19" s="496"/>
    </row>
    <row r="20" ht="15.75">
      <c r="A20" s="495" t="s">
        <v>253</v>
      </c>
    </row>
    <row r="21" ht="15.75">
      <c r="A21" s="496"/>
    </row>
    <row r="22" ht="63">
      <c r="A22" s="496" t="s">
        <v>254</v>
      </c>
    </row>
    <row r="23" ht="15.75">
      <c r="A23" s="494"/>
    </row>
    <row r="24" ht="31.5">
      <c r="A24" s="497" t="s">
        <v>255</v>
      </c>
    </row>
    <row r="25" ht="15.75">
      <c r="A25" s="496"/>
    </row>
    <row r="26" ht="63">
      <c r="A26" s="497" t="s">
        <v>256</v>
      </c>
    </row>
    <row r="27" ht="15.75">
      <c r="A27" s="496"/>
    </row>
    <row r="28" ht="78.75">
      <c r="A28" s="497" t="s">
        <v>257</v>
      </c>
    </row>
    <row r="29" ht="15.75">
      <c r="A29" s="496"/>
    </row>
    <row r="30" ht="15.75">
      <c r="A30" s="497" t="s">
        <v>258</v>
      </c>
    </row>
    <row r="31" ht="47.25">
      <c r="A31" s="496" t="s">
        <v>259</v>
      </c>
    </row>
    <row r="32" ht="47.25">
      <c r="A32" s="496" t="s">
        <v>260</v>
      </c>
    </row>
    <row r="33" ht="15.75">
      <c r="A33" s="496" t="s">
        <v>261</v>
      </c>
    </row>
    <row r="34" ht="15.75">
      <c r="A34" s="496"/>
    </row>
    <row r="35" ht="47.25">
      <c r="A35" s="496" t="s">
        <v>262</v>
      </c>
    </row>
    <row r="36" ht="15.75">
      <c r="A36" s="496"/>
    </row>
    <row r="37" ht="15.75">
      <c r="A37" s="496" t="s">
        <v>263</v>
      </c>
    </row>
    <row r="38" ht="15.75">
      <c r="A38" s="496" t="s">
        <v>264</v>
      </c>
    </row>
    <row r="39" ht="15.75">
      <c r="A39" s="496"/>
    </row>
    <row r="40" ht="15.75">
      <c r="A40" s="497" t="s">
        <v>265</v>
      </c>
    </row>
    <row r="41" ht="47.25">
      <c r="A41" s="496" t="s">
        <v>266</v>
      </c>
    </row>
    <row r="42" ht="15.75">
      <c r="A42" s="496"/>
    </row>
    <row r="43" ht="15.75">
      <c r="A43" s="495" t="s">
        <v>267</v>
      </c>
    </row>
    <row r="44" ht="15.75">
      <c r="A44" s="496"/>
    </row>
    <row r="45" ht="31.5">
      <c r="A45" s="496" t="s">
        <v>268</v>
      </c>
    </row>
    <row r="46" ht="15.75">
      <c r="A46" s="496"/>
    </row>
    <row r="47" ht="47.25">
      <c r="A47" s="496" t="s">
        <v>269</v>
      </c>
    </row>
    <row r="48" ht="15.75">
      <c r="A48" s="496"/>
    </row>
    <row r="49" ht="47.25">
      <c r="A49" s="496" t="s">
        <v>270</v>
      </c>
    </row>
    <row r="50" ht="15.75">
      <c r="A50" s="496"/>
    </row>
    <row r="51" ht="47.25">
      <c r="A51" s="496" t="s">
        <v>271</v>
      </c>
    </row>
    <row r="52" ht="15.75">
      <c r="A52" s="496"/>
    </row>
    <row r="53" ht="15.75">
      <c r="A53" s="495" t="s">
        <v>272</v>
      </c>
    </row>
    <row r="54" ht="15.75">
      <c r="A54" s="496"/>
    </row>
    <row r="55" ht="31.5">
      <c r="A55" s="496" t="s">
        <v>273</v>
      </c>
    </row>
    <row r="56" ht="15.75">
      <c r="A56" s="496"/>
    </row>
    <row r="57" ht="15.75">
      <c r="A57" s="494" t="s">
        <v>274</v>
      </c>
    </row>
    <row r="58" ht="15.75">
      <c r="A58" s="494"/>
    </row>
    <row r="59" ht="63">
      <c r="A59" s="496" t="s">
        <v>275</v>
      </c>
    </row>
    <row r="60" ht="15.75">
      <c r="A60" s="496"/>
    </row>
    <row r="61" ht="15.75">
      <c r="A61" s="494" t="s">
        <v>276</v>
      </c>
    </row>
    <row r="62" ht="15.75">
      <c r="A62" s="496"/>
    </row>
    <row r="63" ht="47.25">
      <c r="A63" s="496" t="s">
        <v>277</v>
      </c>
    </row>
    <row r="64" ht="15.75">
      <c r="A64" s="496"/>
    </row>
    <row r="65" ht="15.75">
      <c r="A65" s="494" t="s">
        <v>278</v>
      </c>
    </row>
    <row r="66" ht="15.75">
      <c r="A66" s="496"/>
    </row>
    <row r="67" ht="31.5">
      <c r="A67" s="496" t="s">
        <v>279</v>
      </c>
    </row>
    <row r="68" ht="15.75">
      <c r="A68" s="496"/>
    </row>
    <row r="69" ht="15.75">
      <c r="A69" s="494" t="s">
        <v>280</v>
      </c>
    </row>
    <row r="70" ht="15.75">
      <c r="A70" s="496"/>
    </row>
    <row r="71" ht="47.25">
      <c r="A71" s="496" t="s">
        <v>281</v>
      </c>
    </row>
    <row r="72" ht="15.75">
      <c r="A72" s="496"/>
    </row>
    <row r="73" ht="15.75">
      <c r="A73" s="494" t="s">
        <v>282</v>
      </c>
    </row>
    <row r="74" ht="15.75">
      <c r="A74" s="496"/>
    </row>
    <row r="75" ht="15.75">
      <c r="A75" s="496" t="s">
        <v>283</v>
      </c>
    </row>
    <row r="76" ht="15.75">
      <c r="A76" s="496"/>
    </row>
    <row r="77" ht="15.75">
      <c r="A77" s="494" t="s">
        <v>284</v>
      </c>
    </row>
    <row r="78" ht="15.75">
      <c r="A78" s="496"/>
    </row>
    <row r="79" ht="47.25">
      <c r="A79" s="496" t="s">
        <v>285</v>
      </c>
    </row>
    <row r="80" ht="15.75">
      <c r="A80" s="496"/>
    </row>
    <row r="81" ht="15.75">
      <c r="A81" s="494" t="s">
        <v>286</v>
      </c>
    </row>
    <row r="82" ht="15.75">
      <c r="A82" s="496"/>
    </row>
    <row r="83" ht="47.25">
      <c r="A83" s="496" t="s">
        <v>287</v>
      </c>
    </row>
  </sheetData>
  <sheetProtection password="CB5B" sheet="1" objects="1" scenarios="1"/>
  <printOptions/>
  <pageMargins left="0.75" right="0.75" top="1" bottom="1" header="0.5" footer="0.5"/>
  <pageSetup orientation="portrait" paperSize="9"/>
  <legacyDrawing r:id="rId2"/>
  <oleObjects>
    <oleObject progId="Equation.3" shapeId="1709772" r:id="rId1"/>
  </oleObjects>
</worksheet>
</file>

<file path=xl/worksheets/sheet3.xml><?xml version="1.0" encoding="utf-8"?>
<worksheet xmlns="http://schemas.openxmlformats.org/spreadsheetml/2006/main" xmlns:r="http://schemas.openxmlformats.org/officeDocument/2006/relationships">
  <dimension ref="A1:I21"/>
  <sheetViews>
    <sheetView workbookViewId="0" topLeftCell="A1">
      <selection activeCell="C57" sqref="C57:D57"/>
    </sheetView>
  </sheetViews>
  <sheetFormatPr defaultColWidth="9.140625" defaultRowHeight="12.75"/>
  <cols>
    <col min="1" max="16384" width="9.140625" style="190" customWidth="1"/>
  </cols>
  <sheetData>
    <row r="1" spans="1:9" ht="13.5" thickBot="1">
      <c r="A1" s="474"/>
      <c r="B1" s="474"/>
      <c r="C1" s="474"/>
      <c r="D1" s="474"/>
      <c r="E1" s="474"/>
      <c r="F1" s="474"/>
      <c r="G1" s="474"/>
      <c r="H1" s="474"/>
      <c r="I1" s="474"/>
    </row>
    <row r="2" spans="1:9" ht="15">
      <c r="A2" s="475" t="s">
        <v>143</v>
      </c>
      <c r="B2" s="476"/>
      <c r="C2" s="476"/>
      <c r="D2" s="476"/>
      <c r="E2" s="477"/>
      <c r="F2" s="477"/>
      <c r="G2" s="477"/>
      <c r="H2" s="477"/>
      <c r="I2" s="478"/>
    </row>
    <row r="3" spans="1:9" ht="12.75">
      <c r="A3" s="479"/>
      <c r="B3" s="184"/>
      <c r="C3" s="184"/>
      <c r="D3" s="184"/>
      <c r="E3" s="184"/>
      <c r="F3" s="184"/>
      <c r="G3" s="184"/>
      <c r="H3" s="184"/>
      <c r="I3" s="480"/>
    </row>
    <row r="4" spans="1:9" ht="12.75">
      <c r="A4" s="479" t="s">
        <v>144</v>
      </c>
      <c r="B4" s="184"/>
      <c r="C4" s="184"/>
      <c r="D4" s="184"/>
      <c r="E4" s="481">
        <v>12</v>
      </c>
      <c r="F4" s="184"/>
      <c r="G4" s="184"/>
      <c r="H4" s="184"/>
      <c r="I4" s="480"/>
    </row>
    <row r="5" spans="1:9" ht="12.75">
      <c r="A5" s="479" t="s">
        <v>145</v>
      </c>
      <c r="B5" s="184"/>
      <c r="C5" s="184"/>
      <c r="D5" s="184"/>
      <c r="E5" s="481">
        <v>20</v>
      </c>
      <c r="F5" s="184"/>
      <c r="G5" s="184"/>
      <c r="H5" s="184"/>
      <c r="I5" s="480"/>
    </row>
    <row r="6" spans="1:9" ht="12.75">
      <c r="A6" s="479" t="s">
        <v>146</v>
      </c>
      <c r="B6" s="184"/>
      <c r="C6" s="184"/>
      <c r="D6" s="184"/>
      <c r="E6" s="481">
        <v>20</v>
      </c>
      <c r="F6" s="184"/>
      <c r="G6" s="184"/>
      <c r="H6" s="184"/>
      <c r="I6" s="480"/>
    </row>
    <row r="7" spans="1:9" ht="12.75">
      <c r="A7" s="479" t="s">
        <v>147</v>
      </c>
      <c r="B7" s="184"/>
      <c r="C7" s="184"/>
      <c r="D7" s="184"/>
      <c r="E7" s="481">
        <v>18</v>
      </c>
      <c r="F7" s="184"/>
      <c r="G7" s="184"/>
      <c r="H7" s="184"/>
      <c r="I7" s="480"/>
    </row>
    <row r="8" spans="1:9" ht="13.5" thickBot="1">
      <c r="A8" s="482" t="s">
        <v>154</v>
      </c>
      <c r="B8" s="483"/>
      <c r="C8" s="483"/>
      <c r="D8" s="484"/>
      <c r="E8" s="483">
        <f>SUM(E4:E7)</f>
        <v>70</v>
      </c>
      <c r="F8" s="484"/>
      <c r="G8" s="484"/>
      <c r="H8" s="484"/>
      <c r="I8" s="485"/>
    </row>
    <row r="9" spans="1:9" ht="12.75">
      <c r="A9" s="486"/>
      <c r="B9" s="486"/>
      <c r="C9" s="486"/>
      <c r="D9" s="486"/>
      <c r="E9" s="486"/>
      <c r="F9" s="486"/>
      <c r="G9" s="474"/>
      <c r="H9" s="474"/>
      <c r="I9" s="474"/>
    </row>
    <row r="10" spans="1:9" ht="13.5" thickBot="1">
      <c r="A10" s="474"/>
      <c r="B10" s="474"/>
      <c r="C10" s="474"/>
      <c r="D10" s="474"/>
      <c r="E10" s="474"/>
      <c r="F10" s="474"/>
      <c r="G10" s="474"/>
      <c r="H10" s="474"/>
      <c r="I10" s="474"/>
    </row>
    <row r="11" spans="1:9" ht="15">
      <c r="A11" s="475" t="s">
        <v>155</v>
      </c>
      <c r="B11" s="477"/>
      <c r="C11" s="477"/>
      <c r="D11" s="477"/>
      <c r="E11" s="477"/>
      <c r="F11" s="477"/>
      <c r="G11" s="477"/>
      <c r="H11" s="477"/>
      <c r="I11" s="478"/>
    </row>
    <row r="12" spans="1:9" ht="15">
      <c r="A12" s="487"/>
      <c r="B12" s="184"/>
      <c r="C12" s="184"/>
      <c r="D12" s="184"/>
      <c r="E12" s="184"/>
      <c r="F12" s="184"/>
      <c r="G12" s="184"/>
      <c r="H12" s="184"/>
      <c r="I12" s="480"/>
    </row>
    <row r="13" spans="1:9" ht="12.75">
      <c r="A13" s="343" t="s">
        <v>226</v>
      </c>
      <c r="B13" s="185"/>
      <c r="C13" s="185"/>
      <c r="D13" s="185"/>
      <c r="E13" s="185"/>
      <c r="F13" s="185"/>
      <c r="G13" s="185"/>
      <c r="H13" s="185"/>
      <c r="I13" s="346"/>
    </row>
    <row r="14" spans="1:9" ht="12.75">
      <c r="A14" s="343" t="s">
        <v>156</v>
      </c>
      <c r="B14" s="185"/>
      <c r="C14" s="185"/>
      <c r="D14" s="185"/>
      <c r="E14" s="185"/>
      <c r="F14" s="185"/>
      <c r="G14" s="185"/>
      <c r="H14" s="185"/>
      <c r="I14" s="346"/>
    </row>
    <row r="15" spans="1:9" ht="12.75">
      <c r="A15" s="488"/>
      <c r="B15" s="184"/>
      <c r="C15" s="184"/>
      <c r="D15" s="184"/>
      <c r="E15" s="184"/>
      <c r="F15" s="184"/>
      <c r="G15" s="184"/>
      <c r="H15" s="184"/>
      <c r="I15" s="480"/>
    </row>
    <row r="16" spans="1:9" ht="12.75">
      <c r="A16" s="479" t="s">
        <v>148</v>
      </c>
      <c r="B16" s="184"/>
      <c r="C16" s="184"/>
      <c r="D16" s="184"/>
      <c r="E16" s="481">
        <v>0.16</v>
      </c>
      <c r="F16" s="184" t="s">
        <v>170</v>
      </c>
      <c r="G16" s="184"/>
      <c r="H16" s="184"/>
      <c r="I16" s="480"/>
    </row>
    <row r="17" spans="1:9" ht="12.75">
      <c r="A17" s="479" t="s">
        <v>149</v>
      </c>
      <c r="B17" s="184"/>
      <c r="C17" s="184"/>
      <c r="D17" s="184"/>
      <c r="E17" s="481">
        <v>0.01</v>
      </c>
      <c r="F17" s="184" t="s">
        <v>171</v>
      </c>
      <c r="G17" s="184"/>
      <c r="H17" s="184"/>
      <c r="I17" s="480"/>
    </row>
    <row r="18" spans="1:9" ht="12.75">
      <c r="A18" s="479" t="s">
        <v>150</v>
      </c>
      <c r="B18" s="184"/>
      <c r="C18" s="184"/>
      <c r="D18" s="184"/>
      <c r="E18" s="481">
        <v>0.01</v>
      </c>
      <c r="F18" s="184" t="s">
        <v>172</v>
      </c>
      <c r="G18" s="184"/>
      <c r="H18" s="184"/>
      <c r="I18" s="480"/>
    </row>
    <row r="19" spans="1:9" ht="12.75">
      <c r="A19" s="479" t="s">
        <v>151</v>
      </c>
      <c r="B19" s="184"/>
      <c r="C19" s="184"/>
      <c r="D19" s="184"/>
      <c r="E19" s="481">
        <v>0.08</v>
      </c>
      <c r="F19" s="184" t="s">
        <v>173</v>
      </c>
      <c r="G19" s="184"/>
      <c r="H19" s="184"/>
      <c r="I19" s="480"/>
    </row>
    <row r="20" spans="1:9" ht="12.75">
      <c r="A20" s="479" t="s">
        <v>152</v>
      </c>
      <c r="B20" s="184"/>
      <c r="C20" s="184"/>
      <c r="D20" s="184"/>
      <c r="E20" s="481">
        <v>0.13</v>
      </c>
      <c r="F20" s="184" t="s">
        <v>174</v>
      </c>
      <c r="G20" s="184"/>
      <c r="H20" s="184"/>
      <c r="I20" s="480"/>
    </row>
    <row r="21" spans="1:9" ht="13.5" thickBot="1">
      <c r="A21" s="489" t="s">
        <v>153</v>
      </c>
      <c r="B21" s="490"/>
      <c r="C21" s="490"/>
      <c r="D21" s="490"/>
      <c r="E21" s="491">
        <v>0.04</v>
      </c>
      <c r="F21" s="490" t="s">
        <v>175</v>
      </c>
      <c r="G21" s="490"/>
      <c r="H21" s="490"/>
      <c r="I21" s="49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87"/>
  <sheetViews>
    <sheetView workbookViewId="0" topLeftCell="A1">
      <selection activeCell="C57" sqref="C57:D57"/>
    </sheetView>
  </sheetViews>
  <sheetFormatPr defaultColWidth="9.140625" defaultRowHeight="12.75"/>
  <cols>
    <col min="1" max="5" width="9.140625" style="190" customWidth="1"/>
    <col min="6" max="6" width="10.00390625" style="190" customWidth="1"/>
    <col min="7" max="16384" width="9.140625" style="190" customWidth="1"/>
  </cols>
  <sheetData>
    <row r="1" spans="1:9" ht="12.75">
      <c r="A1" s="269" t="s">
        <v>0</v>
      </c>
      <c r="B1" s="270"/>
      <c r="C1" s="270"/>
      <c r="D1" s="270"/>
      <c r="E1" s="270"/>
      <c r="F1" s="270"/>
      <c r="G1" s="270"/>
      <c r="H1" s="270"/>
      <c r="I1" s="270"/>
    </row>
    <row r="2" spans="1:9" ht="12.75">
      <c r="A2" s="270"/>
      <c r="B2" s="270"/>
      <c r="C2" s="270"/>
      <c r="D2" s="270"/>
      <c r="E2" s="270"/>
      <c r="F2" s="270"/>
      <c r="G2" s="270"/>
      <c r="H2" s="270"/>
      <c r="I2" s="270"/>
    </row>
    <row r="3" spans="1:9" ht="13.5" thickBot="1">
      <c r="A3" s="271" t="s">
        <v>14</v>
      </c>
      <c r="B3" s="272"/>
      <c r="C3" s="272"/>
      <c r="D3" s="272"/>
      <c r="E3" s="272"/>
      <c r="F3" s="272"/>
      <c r="G3" s="272"/>
      <c r="H3" s="272"/>
      <c r="I3" s="273"/>
    </row>
    <row r="4" spans="1:9" ht="12.75">
      <c r="A4" s="274" t="s">
        <v>1</v>
      </c>
      <c r="B4" s="275"/>
      <c r="C4" s="276"/>
      <c r="D4" s="275" t="s">
        <v>8</v>
      </c>
      <c r="E4" s="277"/>
      <c r="F4" s="278"/>
      <c r="G4" s="275"/>
      <c r="H4" s="279" t="s">
        <v>11</v>
      </c>
      <c r="I4" s="280"/>
    </row>
    <row r="5" spans="1:9" ht="12.75">
      <c r="A5" s="281" t="s">
        <v>2</v>
      </c>
      <c r="B5" s="282"/>
      <c r="C5" s="283"/>
      <c r="D5" s="282" t="s">
        <v>9</v>
      </c>
      <c r="E5" s="284"/>
      <c r="F5" s="285"/>
      <c r="G5" s="282"/>
      <c r="H5" s="286">
        <v>14</v>
      </c>
      <c r="I5" s="287"/>
    </row>
    <row r="6" spans="1:9" ht="13.5" thickBot="1">
      <c r="A6" s="288" t="s">
        <v>3</v>
      </c>
      <c r="B6" s="273"/>
      <c r="C6" s="289"/>
      <c r="D6" s="273" t="s">
        <v>20</v>
      </c>
      <c r="E6" s="290"/>
      <c r="F6" s="291"/>
      <c r="G6" s="273"/>
      <c r="H6" s="292">
        <v>4</v>
      </c>
      <c r="I6" s="293"/>
    </row>
    <row r="7" spans="1:9" ht="12.75">
      <c r="A7" s="270"/>
      <c r="B7" s="270"/>
      <c r="C7" s="270"/>
      <c r="D7" s="270"/>
      <c r="E7" s="270"/>
      <c r="F7" s="270"/>
      <c r="G7" s="270"/>
      <c r="H7" s="270"/>
      <c r="I7" s="270"/>
    </row>
    <row r="8" spans="1:9" ht="13.5" thickBot="1">
      <c r="A8" s="272" t="s">
        <v>15</v>
      </c>
      <c r="B8" s="272"/>
      <c r="C8" s="272"/>
      <c r="D8" s="272"/>
      <c r="E8" s="272"/>
      <c r="F8" s="272"/>
      <c r="G8" s="272"/>
      <c r="H8" s="272"/>
      <c r="I8" s="273"/>
    </row>
    <row r="9" spans="1:9" ht="13.5" thickBot="1">
      <c r="A9" s="294" t="s">
        <v>1</v>
      </c>
      <c r="B9" s="295"/>
      <c r="C9" s="296"/>
      <c r="D9" s="295" t="s">
        <v>8</v>
      </c>
      <c r="E9" s="297"/>
      <c r="F9" s="296" t="s">
        <v>12</v>
      </c>
      <c r="G9" s="296"/>
      <c r="H9" s="298" t="s">
        <v>13</v>
      </c>
      <c r="I9" s="299"/>
    </row>
    <row r="10" spans="1:9" ht="12.75">
      <c r="A10" s="281" t="s">
        <v>4</v>
      </c>
      <c r="B10" s="282"/>
      <c r="C10" s="283"/>
      <c r="D10" s="282" t="s">
        <v>10</v>
      </c>
      <c r="E10" s="284"/>
      <c r="F10" s="285">
        <v>40</v>
      </c>
      <c r="G10" s="283"/>
      <c r="H10" s="286">
        <v>4</v>
      </c>
      <c r="I10" s="300"/>
    </row>
    <row r="11" spans="1:9" ht="12.75">
      <c r="A11" s="281" t="s">
        <v>5</v>
      </c>
      <c r="B11" s="282"/>
      <c r="C11" s="283"/>
      <c r="D11" s="282" t="s">
        <v>10</v>
      </c>
      <c r="E11" s="284"/>
      <c r="F11" s="285">
        <v>40</v>
      </c>
      <c r="G11" s="283"/>
      <c r="H11" s="286">
        <v>8</v>
      </c>
      <c r="I11" s="300"/>
    </row>
    <row r="12" spans="1:9" ht="12.75">
      <c r="A12" s="281" t="s">
        <v>6</v>
      </c>
      <c r="B12" s="282"/>
      <c r="C12" s="283"/>
      <c r="D12" s="282" t="s">
        <v>10</v>
      </c>
      <c r="E12" s="284"/>
      <c r="F12" s="285">
        <v>40</v>
      </c>
      <c r="G12" s="283"/>
      <c r="H12" s="286">
        <v>8</v>
      </c>
      <c r="I12" s="300"/>
    </row>
    <row r="13" spans="1:9" ht="13.5" thickBot="1">
      <c r="A13" s="288" t="s">
        <v>7</v>
      </c>
      <c r="B13" s="273"/>
      <c r="C13" s="289"/>
      <c r="D13" s="273" t="s">
        <v>10</v>
      </c>
      <c r="E13" s="290"/>
      <c r="F13" s="291">
        <v>131</v>
      </c>
      <c r="G13" s="289"/>
      <c r="H13" s="292">
        <v>4</v>
      </c>
      <c r="I13" s="301"/>
    </row>
    <row r="14" spans="1:9" ht="12.75">
      <c r="A14" s="270"/>
      <c r="B14" s="270"/>
      <c r="C14" s="270"/>
      <c r="D14" s="270"/>
      <c r="E14" s="270"/>
      <c r="F14" s="270"/>
      <c r="G14" s="270"/>
      <c r="H14" s="270"/>
      <c r="I14" s="270"/>
    </row>
    <row r="15" spans="1:9" ht="12.75">
      <c r="A15" s="269" t="s">
        <v>16</v>
      </c>
      <c r="B15" s="270"/>
      <c r="C15" s="270"/>
      <c r="D15" s="269">
        <f>SUM(H5:H6,H10:H13)</f>
        <v>42</v>
      </c>
      <c r="E15" s="270"/>
      <c r="F15" s="270"/>
      <c r="G15" s="270"/>
      <c r="H15" s="270"/>
      <c r="I15" s="270"/>
    </row>
    <row r="17" spans="1:9" ht="12.75">
      <c r="A17" s="302" t="s">
        <v>17</v>
      </c>
      <c r="B17" s="303"/>
      <c r="C17" s="303"/>
      <c r="D17" s="303"/>
      <c r="E17" s="303"/>
      <c r="F17" s="303"/>
      <c r="G17" s="303"/>
      <c r="H17" s="303"/>
      <c r="I17" s="303"/>
    </row>
    <row r="18" spans="1:9" ht="12.75">
      <c r="A18" s="303"/>
      <c r="B18" s="303"/>
      <c r="C18" s="303"/>
      <c r="D18" s="303"/>
      <c r="E18" s="303"/>
      <c r="F18" s="303"/>
      <c r="G18" s="303"/>
      <c r="H18" s="303"/>
      <c r="I18" s="303"/>
    </row>
    <row r="19" spans="1:9" ht="13.5" thickBot="1">
      <c r="A19" s="304" t="s">
        <v>14</v>
      </c>
      <c r="B19" s="305"/>
      <c r="C19" s="305"/>
      <c r="D19" s="305"/>
      <c r="E19" s="305"/>
      <c r="F19" s="305"/>
      <c r="G19" s="305"/>
      <c r="H19" s="305"/>
      <c r="I19" s="306"/>
    </row>
    <row r="20" spans="1:9" ht="12.75">
      <c r="A20" s="307" t="s">
        <v>1</v>
      </c>
      <c r="B20" s="308"/>
      <c r="C20" s="309"/>
      <c r="D20" s="309" t="s">
        <v>8</v>
      </c>
      <c r="E20" s="309"/>
      <c r="F20" s="310"/>
      <c r="G20" s="309"/>
      <c r="H20" s="311" t="s">
        <v>11</v>
      </c>
      <c r="I20" s="312"/>
    </row>
    <row r="21" spans="1:9" ht="12.75">
      <c r="A21" s="313" t="s">
        <v>2</v>
      </c>
      <c r="B21" s="314"/>
      <c r="C21" s="315"/>
      <c r="D21" s="315" t="s">
        <v>9</v>
      </c>
      <c r="E21" s="315"/>
      <c r="F21" s="316"/>
      <c r="G21" s="315"/>
      <c r="H21" s="317">
        <v>14</v>
      </c>
      <c r="I21" s="318"/>
    </row>
    <row r="22" spans="1:9" ht="12.75">
      <c r="A22" s="313" t="s">
        <v>18</v>
      </c>
      <c r="B22" s="314"/>
      <c r="C22" s="315"/>
      <c r="D22" s="315" t="s">
        <v>20</v>
      </c>
      <c r="E22" s="315"/>
      <c r="F22" s="316"/>
      <c r="G22" s="315"/>
      <c r="H22" s="317">
        <v>4</v>
      </c>
      <c r="I22" s="318"/>
    </row>
    <row r="23" spans="1:9" ht="12.75">
      <c r="A23" s="313" t="s">
        <v>19</v>
      </c>
      <c r="B23" s="314"/>
      <c r="C23" s="315"/>
      <c r="D23" s="315" t="s">
        <v>19</v>
      </c>
      <c r="E23" s="315"/>
      <c r="F23" s="316"/>
      <c r="G23" s="315"/>
      <c r="H23" s="317">
        <v>8</v>
      </c>
      <c r="I23" s="318"/>
    </row>
    <row r="24" spans="1:9" ht="13.5" thickBot="1">
      <c r="A24" s="319" t="s">
        <v>21</v>
      </c>
      <c r="B24" s="320"/>
      <c r="C24" s="306"/>
      <c r="D24" s="306" t="s">
        <v>65</v>
      </c>
      <c r="E24" s="306"/>
      <c r="F24" s="321"/>
      <c r="G24" s="306"/>
      <c r="H24" s="322">
        <v>2</v>
      </c>
      <c r="I24" s="323"/>
    </row>
    <row r="25" spans="1:9" ht="12.75">
      <c r="A25" s="303"/>
      <c r="B25" s="303"/>
      <c r="C25" s="303"/>
      <c r="D25" s="303"/>
      <c r="E25" s="303"/>
      <c r="F25" s="303"/>
      <c r="G25" s="303"/>
      <c r="H25" s="303"/>
      <c r="I25" s="303"/>
    </row>
    <row r="26" spans="1:9" ht="13.5" thickBot="1">
      <c r="A26" s="305" t="s">
        <v>15</v>
      </c>
      <c r="B26" s="305"/>
      <c r="C26" s="305"/>
      <c r="D26" s="305"/>
      <c r="E26" s="305"/>
      <c r="F26" s="305"/>
      <c r="G26" s="305"/>
      <c r="H26" s="305"/>
      <c r="I26" s="306"/>
    </row>
    <row r="27" spans="1:9" ht="13.5" thickBot="1">
      <c r="A27" s="324" t="s">
        <v>1</v>
      </c>
      <c r="B27" s="325"/>
      <c r="C27" s="326"/>
      <c r="D27" s="325" t="s">
        <v>8</v>
      </c>
      <c r="E27" s="327"/>
      <c r="F27" s="326" t="s">
        <v>12</v>
      </c>
      <c r="G27" s="326"/>
      <c r="H27" s="328" t="s">
        <v>13</v>
      </c>
      <c r="I27" s="329"/>
    </row>
    <row r="28" spans="1:9" ht="12.75">
      <c r="A28" s="313" t="s">
        <v>22</v>
      </c>
      <c r="B28" s="315"/>
      <c r="C28" s="330"/>
      <c r="D28" s="315" t="s">
        <v>10</v>
      </c>
      <c r="E28" s="314"/>
      <c r="F28" s="316">
        <v>40</v>
      </c>
      <c r="G28" s="330"/>
      <c r="H28" s="317">
        <v>8</v>
      </c>
      <c r="I28" s="318"/>
    </row>
    <row r="29" spans="1:9" ht="12.75">
      <c r="A29" s="313" t="s">
        <v>23</v>
      </c>
      <c r="B29" s="315"/>
      <c r="C29" s="330"/>
      <c r="D29" s="315" t="s">
        <v>10</v>
      </c>
      <c r="E29" s="314"/>
      <c r="F29" s="316">
        <v>256</v>
      </c>
      <c r="G29" s="330"/>
      <c r="H29" s="317">
        <v>20</v>
      </c>
      <c r="I29" s="318"/>
    </row>
    <row r="30" spans="1:9" ht="12.75">
      <c r="A30" s="313" t="s">
        <v>5</v>
      </c>
      <c r="B30" s="315"/>
      <c r="C30" s="330"/>
      <c r="D30" s="315" t="s">
        <v>10</v>
      </c>
      <c r="E30" s="314"/>
      <c r="F30" s="316"/>
      <c r="G30" s="330"/>
      <c r="H30" s="317">
        <v>4</v>
      </c>
      <c r="I30" s="318"/>
    </row>
    <row r="31" spans="1:9" ht="12.75">
      <c r="A31" s="313" t="s">
        <v>6</v>
      </c>
      <c r="B31" s="315"/>
      <c r="C31" s="330"/>
      <c r="D31" s="315" t="s">
        <v>10</v>
      </c>
      <c r="E31" s="314"/>
      <c r="F31" s="316">
        <v>40</v>
      </c>
      <c r="G31" s="330"/>
      <c r="H31" s="317">
        <v>4</v>
      </c>
      <c r="I31" s="318"/>
    </row>
    <row r="32" spans="1:9" ht="12.75">
      <c r="A32" s="313" t="s">
        <v>24</v>
      </c>
      <c r="B32" s="315"/>
      <c r="C32" s="330"/>
      <c r="D32" s="315" t="s">
        <v>10</v>
      </c>
      <c r="E32" s="314"/>
      <c r="F32" s="316">
        <v>2000</v>
      </c>
      <c r="G32" s="330"/>
      <c r="H32" s="317">
        <f>'Major Factors &amp; Volume Summary'!G19</f>
        <v>500</v>
      </c>
      <c r="I32" s="318"/>
    </row>
    <row r="33" spans="1:9" ht="13.5" thickBot="1">
      <c r="A33" s="319" t="s">
        <v>93</v>
      </c>
      <c r="B33" s="306"/>
      <c r="C33" s="331"/>
      <c r="D33" s="306" t="s">
        <v>92</v>
      </c>
      <c r="E33" s="320"/>
      <c r="F33" s="321">
        <v>410</v>
      </c>
      <c r="G33" s="331"/>
      <c r="H33" s="322">
        <v>40</v>
      </c>
      <c r="I33" s="323"/>
    </row>
    <row r="34" spans="1:9" ht="12.75">
      <c r="A34" s="303"/>
      <c r="B34" s="303"/>
      <c r="C34" s="303"/>
      <c r="D34" s="303"/>
      <c r="E34" s="303"/>
      <c r="F34" s="303"/>
      <c r="G34" s="303"/>
      <c r="H34" s="303"/>
      <c r="I34" s="303"/>
    </row>
    <row r="35" spans="1:9" ht="12.75">
      <c r="A35" s="302" t="s">
        <v>16</v>
      </c>
      <c r="B35" s="303"/>
      <c r="C35" s="303"/>
      <c r="D35" s="302">
        <f>SUM(H21:H24,H28:H33)</f>
        <v>604</v>
      </c>
      <c r="E35" s="303"/>
      <c r="F35" s="303"/>
      <c r="G35" s="303"/>
      <c r="H35" s="303"/>
      <c r="I35" s="303"/>
    </row>
    <row r="37" spans="1:9" ht="12.75">
      <c r="A37" s="332" t="s">
        <v>25</v>
      </c>
      <c r="B37" s="333"/>
      <c r="C37" s="333"/>
      <c r="D37" s="333"/>
      <c r="E37" s="333"/>
      <c r="F37" s="333"/>
      <c r="G37" s="333"/>
      <c r="H37" s="333"/>
      <c r="I37" s="333"/>
    </row>
    <row r="38" spans="1:9" ht="12.75">
      <c r="A38" s="333"/>
      <c r="B38" s="333"/>
      <c r="C38" s="333"/>
      <c r="D38" s="333"/>
      <c r="E38" s="333"/>
      <c r="F38" s="333"/>
      <c r="G38" s="333"/>
      <c r="H38" s="333"/>
      <c r="I38" s="333"/>
    </row>
    <row r="39" spans="1:9" ht="13.5" thickBot="1">
      <c r="A39" s="334" t="s">
        <v>14</v>
      </c>
      <c r="B39" s="335"/>
      <c r="C39" s="335"/>
      <c r="D39" s="335"/>
      <c r="E39" s="335"/>
      <c r="F39" s="335"/>
      <c r="G39" s="335"/>
      <c r="H39" s="335"/>
      <c r="I39" s="336"/>
    </row>
    <row r="40" spans="1:9" ht="12.75">
      <c r="A40" s="337" t="s">
        <v>1</v>
      </c>
      <c r="B40" s="338"/>
      <c r="C40" s="339"/>
      <c r="D40" s="339" t="s">
        <v>8</v>
      </c>
      <c r="E40" s="339"/>
      <c r="F40" s="340"/>
      <c r="G40" s="339"/>
      <c r="H40" s="341" t="s">
        <v>11</v>
      </c>
      <c r="I40" s="342"/>
    </row>
    <row r="41" spans="1:9" ht="12.75">
      <c r="A41" s="343" t="s">
        <v>2</v>
      </c>
      <c r="B41" s="189"/>
      <c r="C41" s="185"/>
      <c r="D41" s="185" t="s">
        <v>9</v>
      </c>
      <c r="E41" s="185"/>
      <c r="F41" s="344"/>
      <c r="G41" s="185"/>
      <c r="H41" s="345">
        <v>14</v>
      </c>
      <c r="I41" s="346"/>
    </row>
    <row r="42" spans="1:9" ht="12.75">
      <c r="A42" s="343" t="s">
        <v>18</v>
      </c>
      <c r="B42" s="189"/>
      <c r="C42" s="185"/>
      <c r="D42" s="185" t="s">
        <v>20</v>
      </c>
      <c r="E42" s="185"/>
      <c r="F42" s="344"/>
      <c r="G42" s="185"/>
      <c r="H42" s="345">
        <v>4</v>
      </c>
      <c r="I42" s="346"/>
    </row>
    <row r="43" spans="1:9" ht="12.75">
      <c r="A43" s="343" t="s">
        <v>26</v>
      </c>
      <c r="B43" s="189"/>
      <c r="C43" s="185"/>
      <c r="D43" s="185" t="s">
        <v>20</v>
      </c>
      <c r="E43" s="185"/>
      <c r="F43" s="344"/>
      <c r="G43" s="185"/>
      <c r="H43" s="345">
        <v>4</v>
      </c>
      <c r="I43" s="346"/>
    </row>
    <row r="44" spans="1:9" ht="13.5" thickBot="1">
      <c r="A44" s="347" t="s">
        <v>21</v>
      </c>
      <c r="B44" s="348"/>
      <c r="C44" s="336"/>
      <c r="D44" s="336" t="s">
        <v>65</v>
      </c>
      <c r="E44" s="336"/>
      <c r="F44" s="349"/>
      <c r="G44" s="336"/>
      <c r="H44" s="350">
        <v>2</v>
      </c>
      <c r="I44" s="351"/>
    </row>
    <row r="45" spans="1:9" ht="12.75">
      <c r="A45" s="333"/>
      <c r="B45" s="333"/>
      <c r="C45" s="333"/>
      <c r="D45" s="333"/>
      <c r="E45" s="333"/>
      <c r="F45" s="333"/>
      <c r="G45" s="333"/>
      <c r="H45" s="333"/>
      <c r="I45" s="333"/>
    </row>
    <row r="46" spans="1:9" ht="13.5" thickBot="1">
      <c r="A46" s="335" t="s">
        <v>15</v>
      </c>
      <c r="B46" s="335"/>
      <c r="C46" s="335"/>
      <c r="D46" s="335"/>
      <c r="E46" s="335"/>
      <c r="F46" s="335"/>
      <c r="G46" s="335"/>
      <c r="H46" s="335"/>
      <c r="I46" s="336"/>
    </row>
    <row r="47" spans="1:9" ht="13.5" thickBot="1">
      <c r="A47" s="352" t="s">
        <v>1</v>
      </c>
      <c r="B47" s="353"/>
      <c r="C47" s="354"/>
      <c r="D47" s="353" t="s">
        <v>8</v>
      </c>
      <c r="E47" s="355"/>
      <c r="F47" s="354" t="s">
        <v>12</v>
      </c>
      <c r="G47" s="354"/>
      <c r="H47" s="356" t="s">
        <v>13</v>
      </c>
      <c r="I47" s="357"/>
    </row>
    <row r="48" spans="1:9" ht="12.75">
      <c r="A48" s="343" t="s">
        <v>27</v>
      </c>
      <c r="B48" s="185"/>
      <c r="C48" s="188"/>
      <c r="D48" s="185" t="s">
        <v>10</v>
      </c>
      <c r="E48" s="189"/>
      <c r="F48" s="344">
        <v>40</v>
      </c>
      <c r="G48" s="188"/>
      <c r="H48" s="345">
        <v>20</v>
      </c>
      <c r="I48" s="346"/>
    </row>
    <row r="49" spans="1:9" ht="12.75">
      <c r="A49" s="343" t="s">
        <v>24</v>
      </c>
      <c r="B49" s="185"/>
      <c r="C49" s="188"/>
      <c r="D49" s="185" t="s">
        <v>10</v>
      </c>
      <c r="E49" s="189"/>
      <c r="F49" s="344">
        <v>2000</v>
      </c>
      <c r="G49" s="188"/>
      <c r="H49" s="345">
        <f>'Major Factors &amp; Volume Summary'!G19</f>
        <v>500</v>
      </c>
      <c r="I49" s="346"/>
    </row>
    <row r="50" spans="1:9" ht="13.5" thickBot="1">
      <c r="A50" s="347" t="s">
        <v>93</v>
      </c>
      <c r="B50" s="336"/>
      <c r="C50" s="358"/>
      <c r="D50" s="336" t="s">
        <v>92</v>
      </c>
      <c r="E50" s="348"/>
      <c r="F50" s="349">
        <v>410</v>
      </c>
      <c r="G50" s="358"/>
      <c r="H50" s="350">
        <v>40</v>
      </c>
      <c r="I50" s="351"/>
    </row>
    <row r="51" spans="1:9" ht="12.75">
      <c r="A51" s="333"/>
      <c r="B51" s="333"/>
      <c r="C51" s="333"/>
      <c r="D51" s="333"/>
      <c r="E51" s="333"/>
      <c r="F51" s="333"/>
      <c r="G51" s="333"/>
      <c r="H51" s="333"/>
      <c r="I51" s="333"/>
    </row>
    <row r="52" spans="1:9" ht="12.75">
      <c r="A52" s="332" t="s">
        <v>16</v>
      </c>
      <c r="B52" s="333"/>
      <c r="C52" s="333"/>
      <c r="D52" s="332">
        <f>SUM(H41:H44,H48:H50)</f>
        <v>584</v>
      </c>
      <c r="E52" s="333"/>
      <c r="F52" s="333"/>
      <c r="G52" s="333"/>
      <c r="H52" s="333"/>
      <c r="I52" s="333"/>
    </row>
    <row r="54" spans="1:9" ht="12.75">
      <c r="A54" s="359" t="s">
        <v>28</v>
      </c>
      <c r="B54" s="360"/>
      <c r="C54" s="360"/>
      <c r="D54" s="360"/>
      <c r="E54" s="360"/>
      <c r="F54" s="360"/>
      <c r="G54" s="360"/>
      <c r="H54" s="360"/>
      <c r="I54" s="360"/>
    </row>
    <row r="55" spans="1:9" ht="12.75">
      <c r="A55" s="360"/>
      <c r="B55" s="360"/>
      <c r="C55" s="360"/>
      <c r="D55" s="360"/>
      <c r="E55" s="360"/>
      <c r="F55" s="360"/>
      <c r="G55" s="360"/>
      <c r="H55" s="360"/>
      <c r="I55" s="360"/>
    </row>
    <row r="56" spans="1:9" ht="13.5" thickBot="1">
      <c r="A56" s="361" t="s">
        <v>14</v>
      </c>
      <c r="B56" s="362"/>
      <c r="C56" s="362"/>
      <c r="D56" s="362"/>
      <c r="E56" s="362"/>
      <c r="F56" s="362"/>
      <c r="G56" s="362"/>
      <c r="H56" s="362"/>
      <c r="I56" s="363"/>
    </row>
    <row r="57" spans="1:9" ht="12.75">
      <c r="A57" s="364" t="s">
        <v>1</v>
      </c>
      <c r="B57" s="365"/>
      <c r="C57" s="366"/>
      <c r="D57" s="366" t="s">
        <v>8</v>
      </c>
      <c r="E57" s="366"/>
      <c r="F57" s="367"/>
      <c r="G57" s="366"/>
      <c r="H57" s="368" t="s">
        <v>11</v>
      </c>
      <c r="I57" s="369"/>
    </row>
    <row r="58" spans="1:9" ht="12.75">
      <c r="A58" s="370" t="s">
        <v>2</v>
      </c>
      <c r="B58" s="371"/>
      <c r="C58" s="372"/>
      <c r="D58" s="372" t="s">
        <v>9</v>
      </c>
      <c r="E58" s="372"/>
      <c r="F58" s="373"/>
      <c r="G58" s="372"/>
      <c r="H58" s="374">
        <v>14</v>
      </c>
      <c r="I58" s="375"/>
    </row>
    <row r="59" spans="1:9" ht="12.75">
      <c r="A59" s="370" t="s">
        <v>29</v>
      </c>
      <c r="B59" s="371"/>
      <c r="C59" s="372"/>
      <c r="D59" s="372" t="s">
        <v>20</v>
      </c>
      <c r="E59" s="372"/>
      <c r="F59" s="373"/>
      <c r="G59" s="372"/>
      <c r="H59" s="374">
        <v>4</v>
      </c>
      <c r="I59" s="375"/>
    </row>
    <row r="60" spans="1:9" ht="12.75">
      <c r="A60" s="370" t="s">
        <v>30</v>
      </c>
      <c r="B60" s="371"/>
      <c r="C60" s="372"/>
      <c r="D60" s="372" t="s">
        <v>20</v>
      </c>
      <c r="E60" s="372"/>
      <c r="F60" s="373"/>
      <c r="G60" s="372"/>
      <c r="H60" s="374">
        <v>4</v>
      </c>
      <c r="I60" s="375"/>
    </row>
    <row r="61" spans="1:9" ht="13.5" thickBot="1">
      <c r="A61" s="376" t="s">
        <v>31</v>
      </c>
      <c r="B61" s="377"/>
      <c r="C61" s="363"/>
      <c r="D61" s="363" t="s">
        <v>32</v>
      </c>
      <c r="E61" s="363"/>
      <c r="F61" s="378"/>
      <c r="G61" s="363"/>
      <c r="H61" s="379">
        <v>1</v>
      </c>
      <c r="I61" s="380"/>
    </row>
    <row r="62" spans="1:9" ht="12.75">
      <c r="A62" s="360"/>
      <c r="B62" s="360"/>
      <c r="C62" s="360"/>
      <c r="D62" s="360"/>
      <c r="E62" s="360"/>
      <c r="F62" s="360"/>
      <c r="G62" s="360"/>
      <c r="H62" s="360"/>
      <c r="I62" s="360"/>
    </row>
    <row r="63" spans="1:9" ht="12.75">
      <c r="A63" s="359" t="s">
        <v>16</v>
      </c>
      <c r="B63" s="360"/>
      <c r="C63" s="360"/>
      <c r="D63" s="359">
        <f>SUM(H58:H61)</f>
        <v>23</v>
      </c>
      <c r="E63" s="360"/>
      <c r="F63" s="360"/>
      <c r="G63" s="360"/>
      <c r="H63" s="360"/>
      <c r="I63" s="360"/>
    </row>
    <row r="65" spans="1:9" ht="12.75">
      <c r="A65" s="381" t="s">
        <v>45</v>
      </c>
      <c r="B65" s="382"/>
      <c r="C65" s="382"/>
      <c r="D65" s="382"/>
      <c r="E65" s="382"/>
      <c r="F65" s="382"/>
      <c r="G65" s="382"/>
      <c r="H65" s="382"/>
      <c r="I65" s="382"/>
    </row>
    <row r="66" spans="1:9" ht="12.75">
      <c r="A66" s="382"/>
      <c r="B66" s="382"/>
      <c r="C66" s="382"/>
      <c r="D66" s="382"/>
      <c r="E66" s="382"/>
      <c r="F66" s="382"/>
      <c r="G66" s="382"/>
      <c r="H66" s="382"/>
      <c r="I66" s="382"/>
    </row>
    <row r="67" spans="1:9" ht="13.5" thickBot="1">
      <c r="A67" s="383" t="s">
        <v>14</v>
      </c>
      <c r="B67" s="384"/>
      <c r="C67" s="384"/>
      <c r="D67" s="384"/>
      <c r="E67" s="384"/>
      <c r="F67" s="384"/>
      <c r="G67" s="384"/>
      <c r="H67" s="384"/>
      <c r="I67" s="385"/>
    </row>
    <row r="68" spans="1:9" ht="12.75">
      <c r="A68" s="386" t="s">
        <v>1</v>
      </c>
      <c r="B68" s="387"/>
      <c r="C68" s="388"/>
      <c r="D68" s="388" t="s">
        <v>8</v>
      </c>
      <c r="E68" s="388"/>
      <c r="F68" s="389"/>
      <c r="G68" s="388"/>
      <c r="H68" s="390" t="s">
        <v>11</v>
      </c>
      <c r="I68" s="391"/>
    </row>
    <row r="69" spans="1:9" ht="12.75">
      <c r="A69" s="392" t="s">
        <v>2</v>
      </c>
      <c r="B69" s="393"/>
      <c r="C69" s="192"/>
      <c r="D69" s="192" t="s">
        <v>9</v>
      </c>
      <c r="E69" s="192"/>
      <c r="F69" s="394"/>
      <c r="G69" s="192"/>
      <c r="H69" s="395">
        <v>14</v>
      </c>
      <c r="I69" s="396"/>
    </row>
    <row r="70" spans="1:9" ht="12.75">
      <c r="A70" s="392" t="s">
        <v>46</v>
      </c>
      <c r="B70" s="393"/>
      <c r="C70" s="192"/>
      <c r="D70" s="192" t="s">
        <v>47</v>
      </c>
      <c r="E70" s="192"/>
      <c r="F70" s="394"/>
      <c r="G70" s="192"/>
      <c r="H70" s="395">
        <v>4</v>
      </c>
      <c r="I70" s="396"/>
    </row>
    <row r="71" spans="1:9" ht="12.75">
      <c r="A71" s="392" t="s">
        <v>19</v>
      </c>
      <c r="B71" s="393"/>
      <c r="C71" s="192"/>
      <c r="D71" s="192" t="s">
        <v>19</v>
      </c>
      <c r="E71" s="192"/>
      <c r="F71" s="394"/>
      <c r="G71" s="192"/>
      <c r="H71" s="395">
        <v>8</v>
      </c>
      <c r="I71" s="396"/>
    </row>
    <row r="72" spans="1:9" ht="12.75">
      <c r="A72" s="392" t="s">
        <v>48</v>
      </c>
      <c r="B72" s="393"/>
      <c r="C72" s="192"/>
      <c r="D72" s="192" t="s">
        <v>47</v>
      </c>
      <c r="E72" s="192"/>
      <c r="F72" s="394"/>
      <c r="G72" s="192"/>
      <c r="H72" s="395">
        <v>4</v>
      </c>
      <c r="I72" s="396"/>
    </row>
    <row r="73" spans="1:9" ht="12.75">
      <c r="A73" s="392" t="s">
        <v>49</v>
      </c>
      <c r="B73" s="393"/>
      <c r="C73" s="192"/>
      <c r="D73" s="192" t="s">
        <v>20</v>
      </c>
      <c r="E73" s="192"/>
      <c r="F73" s="394"/>
      <c r="G73" s="192"/>
      <c r="H73" s="395">
        <v>4</v>
      </c>
      <c r="I73" s="396"/>
    </row>
    <row r="74" spans="1:9" ht="12.75">
      <c r="A74" s="392" t="s">
        <v>50</v>
      </c>
      <c r="B74" s="393"/>
      <c r="C74" s="192"/>
      <c r="D74" s="192" t="s">
        <v>58</v>
      </c>
      <c r="E74" s="192"/>
      <c r="F74" s="394"/>
      <c r="G74" s="192"/>
      <c r="H74" s="395">
        <v>4</v>
      </c>
      <c r="I74" s="396"/>
    </row>
    <row r="75" spans="1:9" ht="12.75">
      <c r="A75" s="392" t="s">
        <v>66</v>
      </c>
      <c r="B75" s="393"/>
      <c r="C75" s="192"/>
      <c r="D75" s="192" t="s">
        <v>47</v>
      </c>
      <c r="E75" s="192"/>
      <c r="F75" s="394"/>
      <c r="G75" s="192"/>
      <c r="H75" s="395">
        <v>4</v>
      </c>
      <c r="I75" s="396"/>
    </row>
    <row r="76" spans="1:9" ht="12.75">
      <c r="A76" s="392" t="s">
        <v>67</v>
      </c>
      <c r="B76" s="393"/>
      <c r="C76" s="192"/>
      <c r="D76" s="192" t="s">
        <v>47</v>
      </c>
      <c r="E76" s="192"/>
      <c r="F76" s="394"/>
      <c r="G76" s="192"/>
      <c r="H76" s="395">
        <v>4</v>
      </c>
      <c r="I76" s="396"/>
    </row>
    <row r="77" spans="1:9" ht="12.75">
      <c r="A77" s="392" t="s">
        <v>51</v>
      </c>
      <c r="B77" s="393"/>
      <c r="C77" s="192"/>
      <c r="D77" s="192" t="s">
        <v>52</v>
      </c>
      <c r="E77" s="192"/>
      <c r="F77" s="394"/>
      <c r="G77" s="192"/>
      <c r="H77" s="395">
        <v>32</v>
      </c>
      <c r="I77" s="396"/>
    </row>
    <row r="78" spans="1:9" ht="12.75">
      <c r="A78" s="392" t="s">
        <v>53</v>
      </c>
      <c r="B78" s="393"/>
      <c r="C78" s="192"/>
      <c r="D78" s="192" t="s">
        <v>52</v>
      </c>
      <c r="E78" s="192"/>
      <c r="F78" s="394"/>
      <c r="G78" s="192"/>
      <c r="H78" s="395">
        <v>32</v>
      </c>
      <c r="I78" s="396"/>
    </row>
    <row r="79" spans="1:9" ht="12.75">
      <c r="A79" s="392" t="s">
        <v>54</v>
      </c>
      <c r="B79" s="393"/>
      <c r="C79" s="192"/>
      <c r="D79" s="192" t="s">
        <v>55</v>
      </c>
      <c r="E79" s="192"/>
      <c r="F79" s="394"/>
      <c r="G79" s="192"/>
      <c r="H79" s="395">
        <v>2</v>
      </c>
      <c r="I79" s="396"/>
    </row>
    <row r="80" spans="1:9" ht="12.75">
      <c r="A80" s="392" t="s">
        <v>56</v>
      </c>
      <c r="B80" s="393"/>
      <c r="C80" s="192"/>
      <c r="D80" s="192" t="s">
        <v>55</v>
      </c>
      <c r="E80" s="192"/>
      <c r="F80" s="394"/>
      <c r="G80" s="192"/>
      <c r="H80" s="395">
        <v>2</v>
      </c>
      <c r="I80" s="396"/>
    </row>
    <row r="81" spans="1:9" ht="12.75">
      <c r="A81" s="392" t="s">
        <v>59</v>
      </c>
      <c r="B81" s="393"/>
      <c r="C81" s="192"/>
      <c r="D81" s="192" t="s">
        <v>60</v>
      </c>
      <c r="E81" s="192"/>
      <c r="F81" s="394"/>
      <c r="G81" s="192"/>
      <c r="H81" s="395">
        <v>1</v>
      </c>
      <c r="I81" s="396"/>
    </row>
    <row r="82" spans="1:9" ht="12.75">
      <c r="A82" s="392" t="s">
        <v>61</v>
      </c>
      <c r="B82" s="393"/>
      <c r="C82" s="192"/>
      <c r="D82" s="192" t="s">
        <v>60</v>
      </c>
      <c r="E82" s="192"/>
      <c r="F82" s="394"/>
      <c r="G82" s="192"/>
      <c r="H82" s="395">
        <v>1</v>
      </c>
      <c r="I82" s="396"/>
    </row>
    <row r="83" spans="1:9" ht="12.75">
      <c r="A83" s="392" t="s">
        <v>62</v>
      </c>
      <c r="B83" s="393"/>
      <c r="C83" s="192"/>
      <c r="D83" s="192" t="s">
        <v>68</v>
      </c>
      <c r="E83" s="192"/>
      <c r="F83" s="394"/>
      <c r="G83" s="192"/>
      <c r="H83" s="395">
        <v>1</v>
      </c>
      <c r="I83" s="396"/>
    </row>
    <row r="84" spans="1:9" ht="12.75">
      <c r="A84" s="392" t="s">
        <v>3</v>
      </c>
      <c r="B84" s="393"/>
      <c r="C84" s="192"/>
      <c r="D84" s="192" t="s">
        <v>60</v>
      </c>
      <c r="E84" s="192"/>
      <c r="F84" s="394"/>
      <c r="G84" s="192"/>
      <c r="H84" s="395">
        <v>1</v>
      </c>
      <c r="I84" s="396"/>
    </row>
    <row r="85" spans="1:9" ht="12.75">
      <c r="A85" s="392" t="s">
        <v>63</v>
      </c>
      <c r="B85" s="393"/>
      <c r="C85" s="192"/>
      <c r="D85" s="192" t="s">
        <v>60</v>
      </c>
      <c r="E85" s="192"/>
      <c r="F85" s="394"/>
      <c r="G85" s="192"/>
      <c r="H85" s="395">
        <v>1</v>
      </c>
      <c r="I85" s="396"/>
    </row>
    <row r="86" spans="1:9" ht="12.75">
      <c r="A86" s="392" t="s">
        <v>64</v>
      </c>
      <c r="B86" s="393"/>
      <c r="C86" s="192"/>
      <c r="D86" s="192" t="s">
        <v>60</v>
      </c>
      <c r="E86" s="192"/>
      <c r="F86" s="394"/>
      <c r="G86" s="192"/>
      <c r="H86" s="395">
        <v>1</v>
      </c>
      <c r="I86" s="396"/>
    </row>
    <row r="87" spans="1:9" ht="12.75">
      <c r="A87" s="392" t="s">
        <v>57</v>
      </c>
      <c r="B87" s="393"/>
      <c r="C87" s="192"/>
      <c r="D87" s="192" t="s">
        <v>20</v>
      </c>
      <c r="E87" s="192"/>
      <c r="F87" s="394"/>
      <c r="G87" s="192"/>
      <c r="H87" s="395">
        <v>4</v>
      </c>
      <c r="I87" s="396"/>
    </row>
    <row r="88" spans="1:9" ht="13.5" thickBot="1">
      <c r="A88" s="397" t="s">
        <v>21</v>
      </c>
      <c r="B88" s="398"/>
      <c r="C88" s="385"/>
      <c r="D88" s="385" t="s">
        <v>65</v>
      </c>
      <c r="E88" s="385"/>
      <c r="F88" s="399"/>
      <c r="G88" s="385"/>
      <c r="H88" s="400">
        <v>2</v>
      </c>
      <c r="I88" s="401"/>
    </row>
    <row r="89" spans="1:9" ht="12.75">
      <c r="A89" s="382"/>
      <c r="B89" s="382"/>
      <c r="C89" s="382"/>
      <c r="D89" s="382"/>
      <c r="E89" s="382"/>
      <c r="F89" s="382"/>
      <c r="G89" s="382"/>
      <c r="H89" s="382"/>
      <c r="I89" s="382"/>
    </row>
    <row r="90" spans="1:9" ht="13.5" thickBot="1">
      <c r="A90" s="384" t="s">
        <v>15</v>
      </c>
      <c r="B90" s="384"/>
      <c r="C90" s="384"/>
      <c r="D90" s="384"/>
      <c r="E90" s="384"/>
      <c r="F90" s="384"/>
      <c r="G90" s="384"/>
      <c r="H90" s="384"/>
      <c r="I90" s="385"/>
    </row>
    <row r="91" spans="1:9" ht="13.5" thickBot="1">
      <c r="A91" s="402" t="s">
        <v>1</v>
      </c>
      <c r="B91" s="403"/>
      <c r="C91" s="404"/>
      <c r="D91" s="403" t="s">
        <v>8</v>
      </c>
      <c r="E91" s="405"/>
      <c r="F91" s="404" t="s">
        <v>12</v>
      </c>
      <c r="G91" s="404"/>
      <c r="H91" s="406" t="s">
        <v>13</v>
      </c>
      <c r="I91" s="407"/>
    </row>
    <row r="92" spans="1:9" ht="12.75">
      <c r="A92" s="392" t="s">
        <v>5</v>
      </c>
      <c r="B92" s="192"/>
      <c r="C92" s="194"/>
      <c r="D92" s="192" t="s">
        <v>10</v>
      </c>
      <c r="E92" s="393"/>
      <c r="F92" s="394">
        <v>40</v>
      </c>
      <c r="G92" s="194"/>
      <c r="H92" s="395">
        <v>12</v>
      </c>
      <c r="I92" s="396"/>
    </row>
    <row r="93" spans="1:9" ht="12.75">
      <c r="A93" s="392" t="s">
        <v>6</v>
      </c>
      <c r="B93" s="192"/>
      <c r="C93" s="194"/>
      <c r="D93" s="192" t="s">
        <v>10</v>
      </c>
      <c r="E93" s="393"/>
      <c r="F93" s="394">
        <v>40</v>
      </c>
      <c r="G93" s="194"/>
      <c r="H93" s="395">
        <v>12</v>
      </c>
      <c r="I93" s="396"/>
    </row>
    <row r="94" spans="1:9" ht="12.75">
      <c r="A94" s="392" t="s">
        <v>69</v>
      </c>
      <c r="B94" s="192"/>
      <c r="C94" s="194"/>
      <c r="D94" s="192" t="s">
        <v>10</v>
      </c>
      <c r="E94" s="393"/>
      <c r="F94" s="394">
        <v>40</v>
      </c>
      <c r="G94" s="194"/>
      <c r="H94" s="395">
        <v>4</v>
      </c>
      <c r="I94" s="396"/>
    </row>
    <row r="95" spans="1:9" ht="12.75">
      <c r="A95" s="392" t="s">
        <v>70</v>
      </c>
      <c r="B95" s="192"/>
      <c r="C95" s="194"/>
      <c r="D95" s="192" t="s">
        <v>10</v>
      </c>
      <c r="E95" s="393"/>
      <c r="F95" s="394">
        <v>12</v>
      </c>
      <c r="G95" s="194"/>
      <c r="H95" s="395">
        <v>4</v>
      </c>
      <c r="I95" s="396"/>
    </row>
    <row r="96" spans="1:9" ht="12.75">
      <c r="A96" s="392" t="s">
        <v>71</v>
      </c>
      <c r="B96" s="192"/>
      <c r="C96" s="194"/>
      <c r="D96" s="192" t="s">
        <v>10</v>
      </c>
      <c r="E96" s="393"/>
      <c r="F96" s="394">
        <v>40</v>
      </c>
      <c r="G96" s="194"/>
      <c r="H96" s="395">
        <v>4</v>
      </c>
      <c r="I96" s="396"/>
    </row>
    <row r="97" spans="1:9" ht="12.75">
      <c r="A97" s="392" t="s">
        <v>7</v>
      </c>
      <c r="B97" s="192"/>
      <c r="C97" s="194"/>
      <c r="D97" s="192" t="s">
        <v>10</v>
      </c>
      <c r="E97" s="393"/>
      <c r="F97" s="394">
        <v>131</v>
      </c>
      <c r="G97" s="194"/>
      <c r="H97" s="395">
        <v>4</v>
      </c>
      <c r="I97" s="396"/>
    </row>
    <row r="98" spans="1:9" ht="12.75">
      <c r="A98" s="392" t="s">
        <v>24</v>
      </c>
      <c r="B98" s="192"/>
      <c r="C98" s="194"/>
      <c r="D98" s="192" t="s">
        <v>10</v>
      </c>
      <c r="E98" s="393"/>
      <c r="F98" s="394">
        <v>2000</v>
      </c>
      <c r="G98" s="194"/>
      <c r="H98" s="395">
        <v>0</v>
      </c>
      <c r="I98" s="396"/>
    </row>
    <row r="99" spans="1:9" ht="13.5" thickBot="1">
      <c r="A99" s="397" t="s">
        <v>93</v>
      </c>
      <c r="B99" s="385"/>
      <c r="C99" s="408"/>
      <c r="D99" s="385" t="s">
        <v>92</v>
      </c>
      <c r="E99" s="398"/>
      <c r="F99" s="399">
        <v>410</v>
      </c>
      <c r="G99" s="408"/>
      <c r="H99" s="400">
        <v>40</v>
      </c>
      <c r="I99" s="401"/>
    </row>
    <row r="100" spans="1:9" ht="12.75">
      <c r="A100" s="382"/>
      <c r="B100" s="382"/>
      <c r="C100" s="382"/>
      <c r="D100" s="382"/>
      <c r="E100" s="382"/>
      <c r="F100" s="382"/>
      <c r="G100" s="382"/>
      <c r="H100" s="382"/>
      <c r="I100" s="382"/>
    </row>
    <row r="101" spans="1:9" ht="12.75">
      <c r="A101" s="381" t="s">
        <v>16</v>
      </c>
      <c r="B101" s="382"/>
      <c r="C101" s="382"/>
      <c r="D101" s="381">
        <f>SUM(H69:H88,H92:H99)</f>
        <v>206</v>
      </c>
      <c r="E101" s="382"/>
      <c r="F101" s="382"/>
      <c r="G101" s="382"/>
      <c r="H101" s="382"/>
      <c r="I101" s="382"/>
    </row>
    <row r="103" spans="1:9" ht="12.75">
      <c r="A103" s="409" t="s">
        <v>111</v>
      </c>
      <c r="B103" s="410"/>
      <c r="C103" s="410"/>
      <c r="D103" s="410"/>
      <c r="E103" s="410"/>
      <c r="F103" s="410"/>
      <c r="G103" s="410"/>
      <c r="H103" s="410"/>
      <c r="I103" s="410"/>
    </row>
    <row r="104" spans="1:9" ht="12.75">
      <c r="A104" s="410"/>
      <c r="B104" s="410"/>
      <c r="C104" s="410"/>
      <c r="D104" s="410"/>
      <c r="E104" s="410"/>
      <c r="F104" s="410"/>
      <c r="G104" s="410"/>
      <c r="H104" s="410"/>
      <c r="I104" s="410"/>
    </row>
    <row r="105" spans="1:9" ht="13.5" thickBot="1">
      <c r="A105" s="411" t="s">
        <v>14</v>
      </c>
      <c r="B105" s="412"/>
      <c r="C105" s="412"/>
      <c r="D105" s="412"/>
      <c r="E105" s="412"/>
      <c r="F105" s="412"/>
      <c r="G105" s="412"/>
      <c r="H105" s="412"/>
      <c r="I105" s="413"/>
    </row>
    <row r="106" spans="1:9" ht="12.75">
      <c r="A106" s="414" t="s">
        <v>1</v>
      </c>
      <c r="B106" s="415"/>
      <c r="C106" s="416"/>
      <c r="D106" s="416" t="s">
        <v>8</v>
      </c>
      <c r="E106" s="416"/>
      <c r="F106" s="417"/>
      <c r="G106" s="416"/>
      <c r="H106" s="418" t="s">
        <v>11</v>
      </c>
      <c r="I106" s="419"/>
    </row>
    <row r="107" spans="1:9" ht="12.75">
      <c r="A107" s="420" t="s">
        <v>2</v>
      </c>
      <c r="B107" s="421"/>
      <c r="C107" s="422"/>
      <c r="D107" s="422" t="s">
        <v>9</v>
      </c>
      <c r="E107" s="422"/>
      <c r="F107" s="423"/>
      <c r="G107" s="422"/>
      <c r="H107" s="424">
        <v>14</v>
      </c>
      <c r="I107" s="425"/>
    </row>
    <row r="108" spans="1:9" ht="12.75">
      <c r="A108" s="420" t="s">
        <v>72</v>
      </c>
      <c r="B108" s="421"/>
      <c r="C108" s="422"/>
      <c r="D108" s="422" t="s">
        <v>20</v>
      </c>
      <c r="E108" s="422"/>
      <c r="F108" s="423"/>
      <c r="G108" s="422"/>
      <c r="H108" s="424">
        <v>4</v>
      </c>
      <c r="I108" s="425"/>
    </row>
    <row r="109" spans="1:9" ht="12.75">
      <c r="A109" s="420" t="s">
        <v>73</v>
      </c>
      <c r="B109" s="421"/>
      <c r="C109" s="422"/>
      <c r="D109" s="422" t="s">
        <v>82</v>
      </c>
      <c r="E109" s="422"/>
      <c r="F109" s="423"/>
      <c r="G109" s="422"/>
      <c r="H109" s="424">
        <v>1</v>
      </c>
      <c r="I109" s="425"/>
    </row>
    <row r="110" spans="1:9" ht="12.75">
      <c r="A110" s="420" t="s">
        <v>19</v>
      </c>
      <c r="B110" s="421"/>
      <c r="C110" s="422"/>
      <c r="D110" s="422" t="s">
        <v>19</v>
      </c>
      <c r="E110" s="422"/>
      <c r="F110" s="423"/>
      <c r="G110" s="422"/>
      <c r="H110" s="424">
        <v>8</v>
      </c>
      <c r="I110" s="425"/>
    </row>
    <row r="111" spans="1:9" ht="12.75">
      <c r="A111" s="420" t="s">
        <v>74</v>
      </c>
      <c r="B111" s="421"/>
      <c r="C111" s="422"/>
      <c r="D111" s="422" t="s">
        <v>20</v>
      </c>
      <c r="E111" s="422"/>
      <c r="F111" s="423"/>
      <c r="G111" s="422"/>
      <c r="H111" s="424">
        <v>4</v>
      </c>
      <c r="I111" s="425"/>
    </row>
    <row r="112" spans="1:9" ht="12.75">
      <c r="A112" s="420" t="s">
        <v>48</v>
      </c>
      <c r="B112" s="421"/>
      <c r="C112" s="422"/>
      <c r="D112" s="422" t="s">
        <v>47</v>
      </c>
      <c r="E112" s="422"/>
      <c r="F112" s="423"/>
      <c r="G112" s="422"/>
      <c r="H112" s="424">
        <v>4</v>
      </c>
      <c r="I112" s="425"/>
    </row>
    <row r="113" spans="1:9" ht="12.75">
      <c r="A113" s="420" t="s">
        <v>75</v>
      </c>
      <c r="B113" s="421"/>
      <c r="C113" s="422"/>
      <c r="D113" s="422" t="s">
        <v>20</v>
      </c>
      <c r="E113" s="422"/>
      <c r="F113" s="423"/>
      <c r="G113" s="422"/>
      <c r="H113" s="424">
        <v>4</v>
      </c>
      <c r="I113" s="425"/>
    </row>
    <row r="114" spans="1:9" ht="12.75">
      <c r="A114" s="420" t="s">
        <v>76</v>
      </c>
      <c r="B114" s="421"/>
      <c r="C114" s="422"/>
      <c r="D114" s="422" t="s">
        <v>20</v>
      </c>
      <c r="E114" s="422"/>
      <c r="F114" s="423"/>
      <c r="G114" s="422"/>
      <c r="H114" s="424">
        <v>4</v>
      </c>
      <c r="I114" s="425"/>
    </row>
    <row r="115" spans="1:9" ht="12.75">
      <c r="A115" s="420" t="s">
        <v>77</v>
      </c>
      <c r="B115" s="421"/>
      <c r="C115" s="422"/>
      <c r="D115" s="422" t="s">
        <v>20</v>
      </c>
      <c r="E115" s="422"/>
      <c r="F115" s="423"/>
      <c r="G115" s="422"/>
      <c r="H115" s="424">
        <v>4</v>
      </c>
      <c r="I115" s="425"/>
    </row>
    <row r="116" spans="1:9" ht="12.75">
      <c r="A116" s="420" t="s">
        <v>78</v>
      </c>
      <c r="B116" s="421"/>
      <c r="C116" s="422"/>
      <c r="D116" s="422" t="s">
        <v>20</v>
      </c>
      <c r="E116" s="422"/>
      <c r="F116" s="423"/>
      <c r="G116" s="422"/>
      <c r="H116" s="424">
        <v>4</v>
      </c>
      <c r="I116" s="425"/>
    </row>
    <row r="117" spans="1:9" ht="12.75">
      <c r="A117" s="420" t="s">
        <v>3</v>
      </c>
      <c r="B117" s="421"/>
      <c r="C117" s="422"/>
      <c r="D117" s="422" t="s">
        <v>82</v>
      </c>
      <c r="E117" s="422"/>
      <c r="F117" s="423"/>
      <c r="G117" s="422"/>
      <c r="H117" s="424">
        <v>1</v>
      </c>
      <c r="I117" s="425"/>
    </row>
    <row r="118" spans="1:9" ht="12.75">
      <c r="A118" s="420" t="s">
        <v>79</v>
      </c>
      <c r="B118" s="421"/>
      <c r="C118" s="422"/>
      <c r="D118" s="422" t="s">
        <v>82</v>
      </c>
      <c r="E118" s="422"/>
      <c r="F118" s="423"/>
      <c r="G118" s="422"/>
      <c r="H118" s="424">
        <v>1</v>
      </c>
      <c r="I118" s="425"/>
    </row>
    <row r="119" spans="1:9" ht="12.75">
      <c r="A119" s="420" t="s">
        <v>80</v>
      </c>
      <c r="B119" s="421"/>
      <c r="C119" s="422"/>
      <c r="D119" s="422" t="s">
        <v>82</v>
      </c>
      <c r="E119" s="422"/>
      <c r="F119" s="423"/>
      <c r="G119" s="422"/>
      <c r="H119" s="424">
        <v>1</v>
      </c>
      <c r="I119" s="425"/>
    </row>
    <row r="120" spans="1:9" ht="12.75">
      <c r="A120" s="420" t="s">
        <v>51</v>
      </c>
      <c r="B120" s="421"/>
      <c r="C120" s="422"/>
      <c r="D120" s="422" t="s">
        <v>52</v>
      </c>
      <c r="E120" s="422"/>
      <c r="F120" s="423"/>
      <c r="G120" s="422"/>
      <c r="H120" s="424">
        <v>32</v>
      </c>
      <c r="I120" s="425"/>
    </row>
    <row r="121" spans="1:9" ht="12.75">
      <c r="A121" s="420" t="s">
        <v>53</v>
      </c>
      <c r="B121" s="421"/>
      <c r="C121" s="422"/>
      <c r="D121" s="422" t="s">
        <v>52</v>
      </c>
      <c r="E121" s="422"/>
      <c r="F121" s="423"/>
      <c r="G121" s="422"/>
      <c r="H121" s="424">
        <v>32</v>
      </c>
      <c r="I121" s="425"/>
    </row>
    <row r="122" spans="1:9" ht="12.75">
      <c r="A122" s="420" t="s">
        <v>54</v>
      </c>
      <c r="B122" s="421"/>
      <c r="C122" s="422"/>
      <c r="D122" s="422" t="s">
        <v>55</v>
      </c>
      <c r="E122" s="422"/>
      <c r="F122" s="423"/>
      <c r="G122" s="422"/>
      <c r="H122" s="424">
        <v>2</v>
      </c>
      <c r="I122" s="425"/>
    </row>
    <row r="123" spans="1:9" ht="12.75">
      <c r="A123" s="420" t="s">
        <v>56</v>
      </c>
      <c r="B123" s="421"/>
      <c r="C123" s="422"/>
      <c r="D123" s="422" t="s">
        <v>55</v>
      </c>
      <c r="E123" s="422"/>
      <c r="F123" s="423"/>
      <c r="G123" s="422"/>
      <c r="H123" s="424">
        <v>2</v>
      </c>
      <c r="I123" s="425"/>
    </row>
    <row r="124" spans="1:9" ht="12.75">
      <c r="A124" s="420" t="s">
        <v>84</v>
      </c>
      <c r="B124" s="421"/>
      <c r="C124" s="422"/>
      <c r="D124" s="422" t="s">
        <v>85</v>
      </c>
      <c r="E124" s="422"/>
      <c r="F124" s="423"/>
      <c r="G124" s="422"/>
      <c r="H124" s="424">
        <v>10</v>
      </c>
      <c r="I124" s="425"/>
    </row>
    <row r="125" spans="1:9" ht="12.75">
      <c r="A125" s="420" t="s">
        <v>81</v>
      </c>
      <c r="B125" s="421"/>
      <c r="C125" s="422"/>
      <c r="D125" s="422" t="s">
        <v>83</v>
      </c>
      <c r="E125" s="422"/>
      <c r="F125" s="423"/>
      <c r="G125" s="422"/>
      <c r="H125" s="424">
        <v>1</v>
      </c>
      <c r="I125" s="425"/>
    </row>
    <row r="126" spans="1:9" ht="13.5" thickBot="1">
      <c r="A126" s="426" t="s">
        <v>21</v>
      </c>
      <c r="B126" s="427"/>
      <c r="C126" s="413"/>
      <c r="D126" s="413" t="s">
        <v>65</v>
      </c>
      <c r="E126" s="413"/>
      <c r="F126" s="428"/>
      <c r="G126" s="413"/>
      <c r="H126" s="429">
        <v>2</v>
      </c>
      <c r="I126" s="430"/>
    </row>
    <row r="127" spans="1:9" ht="12.75">
      <c r="A127" s="410"/>
      <c r="B127" s="410"/>
      <c r="C127" s="410"/>
      <c r="D127" s="410"/>
      <c r="E127" s="410"/>
      <c r="F127" s="410"/>
      <c r="G127" s="410"/>
      <c r="H127" s="410"/>
      <c r="I127" s="410"/>
    </row>
    <row r="128" spans="1:9" ht="13.5" thickBot="1">
      <c r="A128" s="412" t="s">
        <v>15</v>
      </c>
      <c r="B128" s="412"/>
      <c r="C128" s="412"/>
      <c r="D128" s="412"/>
      <c r="E128" s="412"/>
      <c r="F128" s="412"/>
      <c r="G128" s="412"/>
      <c r="H128" s="412"/>
      <c r="I128" s="413"/>
    </row>
    <row r="129" spans="1:9" ht="13.5" thickBot="1">
      <c r="A129" s="431" t="s">
        <v>1</v>
      </c>
      <c r="B129" s="432"/>
      <c r="C129" s="433"/>
      <c r="D129" s="432" t="s">
        <v>8</v>
      </c>
      <c r="E129" s="434"/>
      <c r="F129" s="433" t="s">
        <v>12</v>
      </c>
      <c r="G129" s="433"/>
      <c r="H129" s="435" t="s">
        <v>13</v>
      </c>
      <c r="I129" s="436"/>
    </row>
    <row r="130" spans="1:9" s="444" customFormat="1" ht="12.75">
      <c r="A130" s="437" t="s">
        <v>86</v>
      </c>
      <c r="B130" s="438"/>
      <c r="C130" s="439"/>
      <c r="D130" s="438" t="s">
        <v>10</v>
      </c>
      <c r="E130" s="440"/>
      <c r="F130" s="441">
        <v>33</v>
      </c>
      <c r="G130" s="439"/>
      <c r="H130" s="442">
        <v>4</v>
      </c>
      <c r="I130" s="443"/>
    </row>
    <row r="131" spans="1:9" s="444" customFormat="1" ht="12.75">
      <c r="A131" s="437" t="s">
        <v>87</v>
      </c>
      <c r="B131" s="438"/>
      <c r="C131" s="439"/>
      <c r="D131" s="438" t="s">
        <v>10</v>
      </c>
      <c r="E131" s="440"/>
      <c r="F131" s="441">
        <v>40</v>
      </c>
      <c r="G131" s="439"/>
      <c r="H131" s="442">
        <v>4</v>
      </c>
      <c r="I131" s="443"/>
    </row>
    <row r="132" spans="1:9" ht="12.75">
      <c r="A132" s="420" t="s">
        <v>4</v>
      </c>
      <c r="B132" s="422"/>
      <c r="C132" s="445"/>
      <c r="D132" s="422" t="s">
        <v>10</v>
      </c>
      <c r="E132" s="421"/>
      <c r="F132" s="423">
        <v>40</v>
      </c>
      <c r="G132" s="445"/>
      <c r="H132" s="424">
        <v>4</v>
      </c>
      <c r="I132" s="425"/>
    </row>
    <row r="133" spans="1:9" ht="12.75">
      <c r="A133" s="420" t="s">
        <v>7</v>
      </c>
      <c r="B133" s="422"/>
      <c r="C133" s="445"/>
      <c r="D133" s="422" t="s">
        <v>10</v>
      </c>
      <c r="E133" s="421"/>
      <c r="F133" s="423">
        <v>40</v>
      </c>
      <c r="G133" s="445"/>
      <c r="H133" s="424">
        <v>4</v>
      </c>
      <c r="I133" s="425"/>
    </row>
    <row r="134" spans="1:9" ht="12.75">
      <c r="A134" s="420" t="s">
        <v>88</v>
      </c>
      <c r="B134" s="422"/>
      <c r="C134" s="445"/>
      <c r="D134" s="422" t="s">
        <v>91</v>
      </c>
      <c r="E134" s="421"/>
      <c r="F134" s="423">
        <v>480</v>
      </c>
      <c r="G134" s="445"/>
      <c r="H134" s="424">
        <v>40</v>
      </c>
      <c r="I134" s="425"/>
    </row>
    <row r="135" spans="1:9" ht="12.75">
      <c r="A135" s="420" t="s">
        <v>93</v>
      </c>
      <c r="B135" s="422"/>
      <c r="C135" s="445"/>
      <c r="D135" s="422" t="s">
        <v>92</v>
      </c>
      <c r="E135" s="421"/>
      <c r="F135" s="423">
        <v>410</v>
      </c>
      <c r="G135" s="445"/>
      <c r="H135" s="424">
        <v>40</v>
      </c>
      <c r="I135" s="425"/>
    </row>
    <row r="136" spans="1:9" ht="12.75">
      <c r="A136" s="420" t="s">
        <v>24</v>
      </c>
      <c r="B136" s="422"/>
      <c r="C136" s="445"/>
      <c r="D136" s="422" t="s">
        <v>10</v>
      </c>
      <c r="E136" s="421"/>
      <c r="F136" s="423">
        <v>2000</v>
      </c>
      <c r="G136" s="445"/>
      <c r="H136" s="424">
        <v>0</v>
      </c>
      <c r="I136" s="425"/>
    </row>
    <row r="137" spans="1:9" ht="12.75">
      <c r="A137" s="420" t="s">
        <v>89</v>
      </c>
      <c r="B137" s="422"/>
      <c r="C137" s="445"/>
      <c r="D137" s="422" t="s">
        <v>10</v>
      </c>
      <c r="E137" s="421"/>
      <c r="F137" s="423">
        <v>41</v>
      </c>
      <c r="G137" s="445"/>
      <c r="H137" s="424">
        <v>4</v>
      </c>
      <c r="I137" s="425"/>
    </row>
    <row r="138" spans="1:9" ht="12.75">
      <c r="A138" s="420" t="s">
        <v>90</v>
      </c>
      <c r="B138" s="422"/>
      <c r="C138" s="445"/>
      <c r="D138" s="422" t="s">
        <v>10</v>
      </c>
      <c r="E138" s="421"/>
      <c r="F138" s="423">
        <v>40</v>
      </c>
      <c r="G138" s="445"/>
      <c r="H138" s="424">
        <v>4</v>
      </c>
      <c r="I138" s="425"/>
    </row>
    <row r="139" spans="1:9" ht="13.5" thickBot="1">
      <c r="A139" s="426" t="s">
        <v>71</v>
      </c>
      <c r="B139" s="413"/>
      <c r="C139" s="446"/>
      <c r="D139" s="413" t="s">
        <v>10</v>
      </c>
      <c r="E139" s="427"/>
      <c r="F139" s="428">
        <v>40</v>
      </c>
      <c r="G139" s="446"/>
      <c r="H139" s="429">
        <v>4</v>
      </c>
      <c r="I139" s="430"/>
    </row>
    <row r="140" spans="1:9" ht="12.75">
      <c r="A140" s="410"/>
      <c r="B140" s="410"/>
      <c r="C140" s="410"/>
      <c r="D140" s="410"/>
      <c r="E140" s="410"/>
      <c r="F140" s="410"/>
      <c r="G140" s="410"/>
      <c r="H140" s="410"/>
      <c r="I140" s="410"/>
    </row>
    <row r="141" spans="1:9" ht="12.75">
      <c r="A141" s="409" t="s">
        <v>16</v>
      </c>
      <c r="B141" s="410"/>
      <c r="C141" s="410"/>
      <c r="D141" s="409">
        <f>SUM(H107:H126,H130:H139)</f>
        <v>243</v>
      </c>
      <c r="E141" s="410"/>
      <c r="F141" s="410"/>
      <c r="G141" s="410"/>
      <c r="H141" s="410"/>
      <c r="I141" s="410"/>
    </row>
    <row r="142" spans="1:4" s="187" customFormat="1" ht="12.75">
      <c r="A142" s="186"/>
      <c r="D142" s="186"/>
    </row>
    <row r="143" spans="1:9" ht="12.75">
      <c r="A143" s="302" t="s">
        <v>162</v>
      </c>
      <c r="B143" s="303"/>
      <c r="C143" s="303"/>
      <c r="D143" s="303"/>
      <c r="E143" s="303"/>
      <c r="F143" s="303"/>
      <c r="G143" s="303"/>
      <c r="H143" s="303"/>
      <c r="I143" s="303"/>
    </row>
    <row r="144" spans="1:9" ht="12.75">
      <c r="A144" s="302"/>
      <c r="B144" s="303"/>
      <c r="C144" s="303"/>
      <c r="D144" s="303"/>
      <c r="E144" s="303"/>
      <c r="F144" s="303"/>
      <c r="G144" s="303"/>
      <c r="H144" s="303"/>
      <c r="I144" s="303"/>
    </row>
    <row r="145" spans="1:9" ht="13.5" thickBot="1">
      <c r="A145" s="304" t="s">
        <v>14</v>
      </c>
      <c r="B145" s="305"/>
      <c r="C145" s="305"/>
      <c r="D145" s="305"/>
      <c r="E145" s="305"/>
      <c r="F145" s="305"/>
      <c r="G145" s="305"/>
      <c r="H145" s="305"/>
      <c r="I145" s="306"/>
    </row>
    <row r="146" spans="1:9" ht="12.75">
      <c r="A146" s="307" t="s">
        <v>1</v>
      </c>
      <c r="B146" s="308"/>
      <c r="C146" s="309"/>
      <c r="D146" s="309" t="s">
        <v>8</v>
      </c>
      <c r="E146" s="309"/>
      <c r="F146" s="310"/>
      <c r="G146" s="309"/>
      <c r="H146" s="311" t="s">
        <v>11</v>
      </c>
      <c r="I146" s="312"/>
    </row>
    <row r="147" spans="1:9" ht="12.75">
      <c r="A147" s="313" t="s">
        <v>2</v>
      </c>
      <c r="B147" s="314"/>
      <c r="C147" s="315"/>
      <c r="D147" s="315" t="s">
        <v>9</v>
      </c>
      <c r="E147" s="315"/>
      <c r="F147" s="316"/>
      <c r="G147" s="315"/>
      <c r="H147" s="317">
        <v>14</v>
      </c>
      <c r="I147" s="318"/>
    </row>
    <row r="148" spans="1:9" ht="12.75">
      <c r="A148" s="313" t="s">
        <v>19</v>
      </c>
      <c r="B148" s="314"/>
      <c r="C148" s="315"/>
      <c r="D148" s="315" t="s">
        <v>19</v>
      </c>
      <c r="E148" s="315"/>
      <c r="F148" s="316"/>
      <c r="G148" s="315"/>
      <c r="H148" s="317">
        <v>8</v>
      </c>
      <c r="I148" s="318"/>
    </row>
    <row r="149" spans="1:9" ht="12.75">
      <c r="A149" s="313" t="s">
        <v>163</v>
      </c>
      <c r="B149" s="314"/>
      <c r="C149" s="315"/>
      <c r="D149" s="315" t="s">
        <v>47</v>
      </c>
      <c r="E149" s="315"/>
      <c r="F149" s="316"/>
      <c r="G149" s="315"/>
      <c r="H149" s="317">
        <v>4</v>
      </c>
      <c r="I149" s="318"/>
    </row>
    <row r="150" spans="1:9" ht="12.75">
      <c r="A150" s="313" t="s">
        <v>164</v>
      </c>
      <c r="B150" s="314"/>
      <c r="C150" s="315"/>
      <c r="D150" s="315" t="s">
        <v>20</v>
      </c>
      <c r="E150" s="315"/>
      <c r="F150" s="316"/>
      <c r="G150" s="315"/>
      <c r="H150" s="317">
        <v>4</v>
      </c>
      <c r="I150" s="318"/>
    </row>
    <row r="151" spans="1:9" ht="12.75">
      <c r="A151" s="313" t="s">
        <v>165</v>
      </c>
      <c r="B151" s="314"/>
      <c r="C151" s="315"/>
      <c r="D151" s="315" t="s">
        <v>20</v>
      </c>
      <c r="E151" s="315"/>
      <c r="F151" s="316"/>
      <c r="G151" s="315"/>
      <c r="H151" s="317">
        <v>4</v>
      </c>
      <c r="I151" s="318"/>
    </row>
    <row r="152" spans="1:9" ht="13.5" thickBot="1">
      <c r="A152" s="319"/>
      <c r="B152" s="320"/>
      <c r="C152" s="306"/>
      <c r="D152" s="306"/>
      <c r="E152" s="306"/>
      <c r="F152" s="321"/>
      <c r="G152" s="306"/>
      <c r="H152" s="322"/>
      <c r="I152" s="323"/>
    </row>
    <row r="153" spans="1:9" ht="12.75">
      <c r="A153" s="302"/>
      <c r="B153" s="303"/>
      <c r="C153" s="303"/>
      <c r="D153" s="303"/>
      <c r="E153" s="303"/>
      <c r="F153" s="303"/>
      <c r="G153" s="303"/>
      <c r="H153" s="303"/>
      <c r="I153" s="303"/>
    </row>
    <row r="154" spans="1:9" s="187" customFormat="1" ht="12.75">
      <c r="A154" s="302" t="s">
        <v>16</v>
      </c>
      <c r="B154" s="303"/>
      <c r="C154" s="303"/>
      <c r="D154" s="302">
        <f>SUM(H147:H151)</f>
        <v>34</v>
      </c>
      <c r="E154" s="303"/>
      <c r="F154" s="303"/>
      <c r="G154" s="303"/>
      <c r="H154" s="303"/>
      <c r="I154" s="303"/>
    </row>
    <row r="155" spans="1:4" s="187" customFormat="1" ht="12.75">
      <c r="A155" s="186"/>
      <c r="D155" s="186"/>
    </row>
    <row r="156" spans="1:9" s="187" customFormat="1" ht="12.75">
      <c r="A156" s="447" t="s">
        <v>166</v>
      </c>
      <c r="B156" s="448"/>
      <c r="C156" s="448"/>
      <c r="D156" s="448"/>
      <c r="E156" s="448"/>
      <c r="F156" s="448"/>
      <c r="G156" s="448"/>
      <c r="H156" s="448"/>
      <c r="I156" s="448"/>
    </row>
    <row r="157" spans="1:9" s="187" customFormat="1" ht="12.75">
      <c r="A157" s="447"/>
      <c r="B157" s="448"/>
      <c r="C157" s="448"/>
      <c r="D157" s="448"/>
      <c r="E157" s="448"/>
      <c r="F157" s="448"/>
      <c r="G157" s="448"/>
      <c r="H157" s="448"/>
      <c r="I157" s="448"/>
    </row>
    <row r="158" spans="1:9" s="187" customFormat="1" ht="13.5" thickBot="1">
      <c r="A158" s="449" t="s">
        <v>14</v>
      </c>
      <c r="B158" s="450"/>
      <c r="C158" s="450"/>
      <c r="D158" s="450"/>
      <c r="E158" s="450"/>
      <c r="F158" s="450"/>
      <c r="G158" s="450"/>
      <c r="H158" s="450"/>
      <c r="I158" s="451"/>
    </row>
    <row r="159" spans="1:9" s="187" customFormat="1" ht="12.75">
      <c r="A159" s="452" t="s">
        <v>1</v>
      </c>
      <c r="B159" s="453"/>
      <c r="C159" s="454"/>
      <c r="D159" s="454" t="s">
        <v>8</v>
      </c>
      <c r="E159" s="454"/>
      <c r="F159" s="455"/>
      <c r="G159" s="454"/>
      <c r="H159" s="456" t="s">
        <v>11</v>
      </c>
      <c r="I159" s="457"/>
    </row>
    <row r="160" spans="1:9" s="187" customFormat="1" ht="12.75">
      <c r="A160" s="458" t="s">
        <v>2</v>
      </c>
      <c r="B160" s="459"/>
      <c r="C160" s="460"/>
      <c r="D160" s="460" t="s">
        <v>9</v>
      </c>
      <c r="E160" s="460"/>
      <c r="F160" s="461"/>
      <c r="G160" s="460"/>
      <c r="H160" s="462">
        <v>14</v>
      </c>
      <c r="I160" s="463"/>
    </row>
    <row r="161" spans="1:9" s="187" customFormat="1" ht="12.75">
      <c r="A161" s="458" t="s">
        <v>30</v>
      </c>
      <c r="B161" s="459"/>
      <c r="C161" s="460"/>
      <c r="D161" s="460" t="s">
        <v>20</v>
      </c>
      <c r="E161" s="460"/>
      <c r="F161" s="461"/>
      <c r="G161" s="460"/>
      <c r="H161" s="462">
        <v>4</v>
      </c>
      <c r="I161" s="463"/>
    </row>
    <row r="162" spans="1:9" s="187" customFormat="1" ht="12.75">
      <c r="A162" s="458" t="s">
        <v>167</v>
      </c>
      <c r="B162" s="459"/>
      <c r="C162" s="460"/>
      <c r="D162" s="460" t="s">
        <v>20</v>
      </c>
      <c r="E162" s="460"/>
      <c r="F162" s="461"/>
      <c r="G162" s="460"/>
      <c r="H162" s="462">
        <v>4</v>
      </c>
      <c r="I162" s="463"/>
    </row>
    <row r="163" spans="1:9" s="187" customFormat="1" ht="13.5" thickBot="1">
      <c r="A163" s="464"/>
      <c r="B163" s="465"/>
      <c r="C163" s="451"/>
      <c r="D163" s="451"/>
      <c r="E163" s="451"/>
      <c r="F163" s="466"/>
      <c r="G163" s="451"/>
      <c r="H163" s="467"/>
      <c r="I163" s="468"/>
    </row>
    <row r="164" spans="1:9" s="187" customFormat="1" ht="12.75">
      <c r="A164" s="447"/>
      <c r="B164" s="448"/>
      <c r="C164" s="448"/>
      <c r="D164" s="448"/>
      <c r="E164" s="448"/>
      <c r="F164" s="448"/>
      <c r="G164" s="448"/>
      <c r="H164" s="448"/>
      <c r="I164" s="448"/>
    </row>
    <row r="165" spans="1:9" s="187" customFormat="1" ht="12.75">
      <c r="A165" s="447" t="s">
        <v>16</v>
      </c>
      <c r="B165" s="448"/>
      <c r="C165" s="448"/>
      <c r="D165" s="447">
        <f>SUM(H160:H162)</f>
        <v>22</v>
      </c>
      <c r="E165" s="448"/>
      <c r="F165" s="448"/>
      <c r="G165" s="448"/>
      <c r="H165" s="448"/>
      <c r="I165" s="448"/>
    </row>
    <row r="167" spans="1:9" ht="12.75">
      <c r="A167" s="302" t="s">
        <v>122</v>
      </c>
      <c r="B167" s="303"/>
      <c r="C167" s="303"/>
      <c r="D167" s="303"/>
      <c r="E167" s="303"/>
      <c r="F167" s="303"/>
      <c r="G167" s="303"/>
      <c r="H167" s="303"/>
      <c r="I167" s="303"/>
    </row>
    <row r="168" spans="1:9" ht="12.75">
      <c r="A168" s="303"/>
      <c r="B168" s="303"/>
      <c r="C168" s="303"/>
      <c r="D168" s="303"/>
      <c r="E168" s="303"/>
      <c r="F168" s="303"/>
      <c r="G168" s="303"/>
      <c r="H168" s="303"/>
      <c r="I168" s="303"/>
    </row>
    <row r="169" spans="1:9" ht="13.5" thickBot="1">
      <c r="A169" s="304" t="s">
        <v>14</v>
      </c>
      <c r="B169" s="305"/>
      <c r="C169" s="305"/>
      <c r="D169" s="305"/>
      <c r="E169" s="305"/>
      <c r="F169" s="305"/>
      <c r="G169" s="305"/>
      <c r="H169" s="305"/>
      <c r="I169" s="306"/>
    </row>
    <row r="170" spans="1:9" ht="12.75">
      <c r="A170" s="307" t="s">
        <v>1</v>
      </c>
      <c r="B170" s="309"/>
      <c r="C170" s="469"/>
      <c r="D170" s="309" t="s">
        <v>8</v>
      </c>
      <c r="E170" s="308"/>
      <c r="F170" s="310"/>
      <c r="G170" s="309"/>
      <c r="H170" s="311" t="s">
        <v>11</v>
      </c>
      <c r="I170" s="312"/>
    </row>
    <row r="171" spans="1:9" ht="13.5" thickBot="1">
      <c r="A171" s="319" t="s">
        <v>157</v>
      </c>
      <c r="B171" s="306"/>
      <c r="C171" s="331"/>
      <c r="D171" s="306" t="s">
        <v>136</v>
      </c>
      <c r="E171" s="320"/>
      <c r="F171" s="321"/>
      <c r="G171" s="306"/>
      <c r="H171" s="470">
        <f>152+8/5</f>
        <v>153.6</v>
      </c>
      <c r="I171" s="323"/>
    </row>
    <row r="172" spans="1:9" ht="12.75">
      <c r="A172" s="303"/>
      <c r="B172" s="303"/>
      <c r="C172" s="303"/>
      <c r="D172" s="303"/>
      <c r="E172" s="303"/>
      <c r="F172" s="303"/>
      <c r="G172" s="303"/>
      <c r="H172" s="303"/>
      <c r="I172" s="303"/>
    </row>
    <row r="173" spans="1:9" ht="13.5" thickBot="1">
      <c r="A173" s="305" t="s">
        <v>15</v>
      </c>
      <c r="B173" s="305"/>
      <c r="C173" s="305"/>
      <c r="D173" s="305"/>
      <c r="E173" s="305"/>
      <c r="F173" s="305"/>
      <c r="G173" s="305"/>
      <c r="H173" s="305"/>
      <c r="I173" s="306"/>
    </row>
    <row r="174" spans="1:9" ht="13.5" thickBot="1">
      <c r="A174" s="324" t="s">
        <v>1</v>
      </c>
      <c r="B174" s="325"/>
      <c r="C174" s="326"/>
      <c r="D174" s="325" t="s">
        <v>8</v>
      </c>
      <c r="E174" s="327"/>
      <c r="F174" s="326" t="s">
        <v>12</v>
      </c>
      <c r="G174" s="326"/>
      <c r="H174" s="328" t="s">
        <v>13</v>
      </c>
      <c r="I174" s="329"/>
    </row>
    <row r="175" spans="1:9" ht="12.75">
      <c r="A175" s="313" t="s">
        <v>124</v>
      </c>
      <c r="B175" s="315"/>
      <c r="C175" s="330"/>
      <c r="D175" s="315" t="s">
        <v>123</v>
      </c>
      <c r="E175" s="314"/>
      <c r="F175" s="316" t="s">
        <v>135</v>
      </c>
      <c r="G175" s="330"/>
      <c r="H175" s="317">
        <v>4</v>
      </c>
      <c r="I175" s="471"/>
    </row>
    <row r="176" spans="1:9" ht="12.75">
      <c r="A176" s="313" t="s">
        <v>125</v>
      </c>
      <c r="B176" s="315"/>
      <c r="C176" s="330"/>
      <c r="D176" s="315" t="s">
        <v>123</v>
      </c>
      <c r="E176" s="314"/>
      <c r="F176" s="316" t="s">
        <v>135</v>
      </c>
      <c r="G176" s="330"/>
      <c r="H176" s="317">
        <v>40</v>
      </c>
      <c r="I176" s="471"/>
    </row>
    <row r="177" spans="1:9" ht="12.75">
      <c r="A177" s="313" t="s">
        <v>126</v>
      </c>
      <c r="B177" s="315"/>
      <c r="C177" s="330"/>
      <c r="D177" s="315" t="s">
        <v>123</v>
      </c>
      <c r="E177" s="314"/>
      <c r="F177" s="316" t="s">
        <v>135</v>
      </c>
      <c r="G177" s="330"/>
      <c r="H177" s="317">
        <v>8</v>
      </c>
      <c r="I177" s="471"/>
    </row>
    <row r="178" spans="1:9" ht="12.75">
      <c r="A178" s="313" t="s">
        <v>127</v>
      </c>
      <c r="B178" s="315"/>
      <c r="C178" s="330"/>
      <c r="D178" s="315" t="s">
        <v>123</v>
      </c>
      <c r="E178" s="314"/>
      <c r="F178" s="316" t="s">
        <v>135</v>
      </c>
      <c r="G178" s="330"/>
      <c r="H178" s="317">
        <v>4</v>
      </c>
      <c r="I178" s="471"/>
    </row>
    <row r="179" spans="1:9" ht="12.75">
      <c r="A179" s="313" t="s">
        <v>128</v>
      </c>
      <c r="B179" s="315"/>
      <c r="C179" s="330"/>
      <c r="D179" s="315" t="s">
        <v>123</v>
      </c>
      <c r="E179" s="314"/>
      <c r="F179" s="316" t="s">
        <v>135</v>
      </c>
      <c r="G179" s="330"/>
      <c r="H179" s="317">
        <v>14</v>
      </c>
      <c r="I179" s="471"/>
    </row>
    <row r="180" spans="1:9" ht="12.75">
      <c r="A180" s="313" t="s">
        <v>129</v>
      </c>
      <c r="B180" s="315"/>
      <c r="C180" s="330"/>
      <c r="D180" s="315" t="s">
        <v>123</v>
      </c>
      <c r="E180" s="314"/>
      <c r="F180" s="316" t="s">
        <v>135</v>
      </c>
      <c r="G180" s="330"/>
      <c r="H180" s="317">
        <v>4</v>
      </c>
      <c r="I180" s="471"/>
    </row>
    <row r="181" spans="1:9" ht="12.75">
      <c r="A181" s="313" t="s">
        <v>130</v>
      </c>
      <c r="B181" s="315"/>
      <c r="C181" s="330"/>
      <c r="D181" s="315" t="s">
        <v>123</v>
      </c>
      <c r="E181" s="314"/>
      <c r="F181" s="316" t="s">
        <v>135</v>
      </c>
      <c r="G181" s="330"/>
      <c r="H181" s="317">
        <v>4</v>
      </c>
      <c r="I181" s="471"/>
    </row>
    <row r="182" spans="1:9" ht="12.75">
      <c r="A182" s="313" t="s">
        <v>131</v>
      </c>
      <c r="B182" s="315"/>
      <c r="C182" s="330"/>
      <c r="D182" s="315" t="s">
        <v>123</v>
      </c>
      <c r="E182" s="314"/>
      <c r="F182" s="316" t="s">
        <v>135</v>
      </c>
      <c r="G182" s="330"/>
      <c r="H182" s="317">
        <v>4</v>
      </c>
      <c r="I182" s="471"/>
    </row>
    <row r="183" spans="1:9" ht="12.75">
      <c r="A183" s="313" t="s">
        <v>132</v>
      </c>
      <c r="B183" s="315"/>
      <c r="C183" s="330"/>
      <c r="D183" s="315" t="s">
        <v>123</v>
      </c>
      <c r="E183" s="314"/>
      <c r="F183" s="316" t="s">
        <v>135</v>
      </c>
      <c r="G183" s="330"/>
      <c r="H183" s="317">
        <v>8</v>
      </c>
      <c r="I183" s="471"/>
    </row>
    <row r="184" spans="1:9" ht="12.75">
      <c r="A184" s="313" t="s">
        <v>133</v>
      </c>
      <c r="B184" s="315"/>
      <c r="C184" s="330"/>
      <c r="D184" s="315" t="s">
        <v>123</v>
      </c>
      <c r="E184" s="314"/>
      <c r="F184" s="316" t="s">
        <v>135</v>
      </c>
      <c r="G184" s="330"/>
      <c r="H184" s="317">
        <v>4</v>
      </c>
      <c r="I184" s="471"/>
    </row>
    <row r="185" spans="1:9" ht="13.5" thickBot="1">
      <c r="A185" s="319" t="s">
        <v>134</v>
      </c>
      <c r="B185" s="306"/>
      <c r="C185" s="331"/>
      <c r="D185" s="306" t="s">
        <v>123</v>
      </c>
      <c r="E185" s="320"/>
      <c r="F185" s="321" t="s">
        <v>135</v>
      </c>
      <c r="G185" s="331"/>
      <c r="H185" s="322">
        <v>4</v>
      </c>
      <c r="I185" s="472"/>
    </row>
    <row r="186" spans="1:9" ht="12.75">
      <c r="A186" s="303"/>
      <c r="B186" s="303"/>
      <c r="C186" s="303"/>
      <c r="D186" s="303"/>
      <c r="E186" s="303"/>
      <c r="F186" s="303"/>
      <c r="G186" s="303"/>
      <c r="H186" s="303"/>
      <c r="I186" s="303"/>
    </row>
    <row r="187" spans="1:9" ht="12.75">
      <c r="A187" s="302" t="s">
        <v>16</v>
      </c>
      <c r="B187" s="303"/>
      <c r="C187" s="303"/>
      <c r="D187" s="473">
        <f>SUM(H171:H171,H175:H185)</f>
        <v>251.6</v>
      </c>
      <c r="E187" s="303"/>
      <c r="F187" s="303"/>
      <c r="G187" s="303"/>
      <c r="H187" s="303"/>
      <c r="I187" s="30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N71"/>
  <sheetViews>
    <sheetView workbookViewId="0" topLeftCell="A55">
      <selection activeCell="C57" sqref="C57:D57"/>
    </sheetView>
  </sheetViews>
  <sheetFormatPr defaultColWidth="9.140625" defaultRowHeight="12.75"/>
  <sheetData>
    <row r="2" spans="1:12" ht="15">
      <c r="A2" s="128" t="s">
        <v>206</v>
      </c>
      <c r="B2" s="128"/>
      <c r="C2" s="129"/>
      <c r="D2" s="129"/>
      <c r="E2" s="22"/>
      <c r="F2" s="22"/>
      <c r="G2" s="130"/>
      <c r="H2" s="22"/>
      <c r="I2" s="20"/>
      <c r="J2" s="20"/>
      <c r="K2" s="82"/>
      <c r="L2" s="82"/>
    </row>
    <row r="3" spans="1:10" ht="13.5" thickBot="1">
      <c r="A3" s="20"/>
      <c r="B3" s="20"/>
      <c r="C3" s="20"/>
      <c r="D3" s="20"/>
      <c r="E3" s="20"/>
      <c r="F3" s="20"/>
      <c r="G3" s="20"/>
      <c r="H3" s="20"/>
      <c r="I3" s="20"/>
      <c r="J3" s="20"/>
    </row>
    <row r="4" spans="1:10" ht="12.75">
      <c r="A4" s="131" t="s">
        <v>37</v>
      </c>
      <c r="B4" s="132"/>
      <c r="C4" s="133" t="s">
        <v>112</v>
      </c>
      <c r="D4" s="133"/>
      <c r="E4" s="134" t="s">
        <v>62</v>
      </c>
      <c r="F4" s="135" t="s">
        <v>116</v>
      </c>
      <c r="G4" s="134" t="s">
        <v>114</v>
      </c>
      <c r="H4" s="135" t="s">
        <v>115</v>
      </c>
      <c r="I4" s="134" t="s">
        <v>183</v>
      </c>
      <c r="J4" s="136" t="s">
        <v>184</v>
      </c>
    </row>
    <row r="5" spans="1:10" ht="12.75">
      <c r="A5" s="137"/>
      <c r="B5" s="138"/>
      <c r="C5" s="139"/>
      <c r="D5" s="139"/>
      <c r="E5" s="140"/>
      <c r="F5" s="141" t="s">
        <v>185</v>
      </c>
      <c r="G5" s="140"/>
      <c r="H5" s="141" t="s">
        <v>185</v>
      </c>
      <c r="I5" s="140" t="s">
        <v>185</v>
      </c>
      <c r="J5" s="142" t="s">
        <v>186</v>
      </c>
    </row>
    <row r="6" spans="1:10" ht="12.75">
      <c r="A6" s="145" t="s">
        <v>39</v>
      </c>
      <c r="B6" s="23" t="s">
        <v>207</v>
      </c>
      <c r="C6" s="22"/>
      <c r="D6" s="22"/>
      <c r="E6" s="60" t="s">
        <v>95</v>
      </c>
      <c r="F6" s="130"/>
      <c r="G6" s="146" t="s">
        <v>223</v>
      </c>
      <c r="H6" s="143">
        <f>113*CallRate*(1+PercentOfCallsQueued)/3600</f>
        <v>1004.4444444444445</v>
      </c>
      <c r="I6" s="144">
        <f>H6+(11+OverheadOfProtocolHeader)*NumOfPeripherals</f>
        <v>1085.4444444444443</v>
      </c>
      <c r="J6" s="147">
        <v>3</v>
      </c>
    </row>
    <row r="7" spans="1:10" ht="12.75">
      <c r="A7" s="145" t="s">
        <v>39</v>
      </c>
      <c r="B7" s="23" t="s">
        <v>208</v>
      </c>
      <c r="C7" s="22"/>
      <c r="D7" s="22"/>
      <c r="E7" s="60" t="s">
        <v>95</v>
      </c>
      <c r="F7" s="130">
        <v>54</v>
      </c>
      <c r="G7" s="146">
        <f>NumOfServices</f>
        <v>30</v>
      </c>
      <c r="H7" s="143">
        <f>F7*G7</f>
        <v>1620</v>
      </c>
      <c r="I7" s="144">
        <f>H7+(11+OverheadOfProtocolHeader)*NumOfPeripherals</f>
        <v>1701</v>
      </c>
      <c r="J7" s="147">
        <v>3</v>
      </c>
    </row>
    <row r="8" spans="1:10" ht="12.75">
      <c r="A8" s="145" t="s">
        <v>39</v>
      </c>
      <c r="B8" s="23" t="s">
        <v>113</v>
      </c>
      <c r="C8" s="22"/>
      <c r="D8" s="22"/>
      <c r="E8" s="60" t="s">
        <v>95</v>
      </c>
      <c r="F8" s="130">
        <v>7</v>
      </c>
      <c r="G8" s="146">
        <f>NumOfPeripherals</f>
        <v>1</v>
      </c>
      <c r="H8" s="143">
        <f>F8*G8</f>
        <v>7</v>
      </c>
      <c r="I8" s="144">
        <f>H8+(11+OverheadOfProtocolHeader)*NumOfPeripherals</f>
        <v>88</v>
      </c>
      <c r="J8" s="147">
        <v>30</v>
      </c>
    </row>
    <row r="9" spans="1:12" ht="12.75">
      <c r="A9" s="145" t="s">
        <v>39</v>
      </c>
      <c r="B9" s="23" t="s">
        <v>209</v>
      </c>
      <c r="C9" s="22"/>
      <c r="D9" s="22"/>
      <c r="E9" s="60" t="s">
        <v>95</v>
      </c>
      <c r="F9" s="130">
        <v>9</v>
      </c>
      <c r="G9" s="146">
        <f>NumOfTrunkGroups</f>
        <v>30</v>
      </c>
      <c r="H9" s="143">
        <f>F9*G9</f>
        <v>270</v>
      </c>
      <c r="I9" s="144">
        <f>H9+(11+OverheadOfProtocolHeader)*NumOfPeripherals</f>
        <v>351</v>
      </c>
      <c r="J9" s="147">
        <v>3</v>
      </c>
      <c r="L9" s="148"/>
    </row>
    <row r="10" spans="1:10" ht="12.75">
      <c r="A10" s="145" t="s">
        <v>39</v>
      </c>
      <c r="B10" s="23" t="s">
        <v>210</v>
      </c>
      <c r="C10" s="22"/>
      <c r="D10" s="22"/>
      <c r="E10" s="60" t="s">
        <v>95</v>
      </c>
      <c r="F10" s="130">
        <v>9</v>
      </c>
      <c r="G10" s="146">
        <f>NumOfNetTrunkGroups</f>
        <v>30</v>
      </c>
      <c r="H10" s="143">
        <f>F10*G10</f>
        <v>270</v>
      </c>
      <c r="I10" s="144">
        <f>H10+(11+OverheadOfProtocolHeader)*NumOfPeripherals</f>
        <v>351</v>
      </c>
      <c r="J10" s="147">
        <v>3</v>
      </c>
    </row>
    <row r="11" spans="1:10" ht="13.5" thickBot="1">
      <c r="A11" s="149"/>
      <c r="B11" s="24"/>
      <c r="C11" s="21"/>
      <c r="D11" s="21"/>
      <c r="E11" s="61"/>
      <c r="F11" s="150"/>
      <c r="G11" s="151"/>
      <c r="H11" s="150"/>
      <c r="I11" s="151"/>
      <c r="J11" s="152"/>
    </row>
    <row r="12" spans="1:10" ht="12.75">
      <c r="A12" s="133" t="s">
        <v>141</v>
      </c>
      <c r="B12" s="133"/>
      <c r="C12" s="153"/>
      <c r="D12" s="153"/>
      <c r="E12" s="153"/>
      <c r="F12" s="153"/>
      <c r="G12" s="154">
        <f>SUM(I6/J6,I7/J7,I8/J8,I9/J9,I10/J10)*8</f>
        <v>9325.985185185185</v>
      </c>
      <c r="H12" s="153"/>
      <c r="I12" s="153"/>
      <c r="J12" s="153"/>
    </row>
    <row r="13" spans="1:10" s="82" customFormat="1" ht="12.75">
      <c r="A13" s="83"/>
      <c r="B13" s="83"/>
      <c r="C13" s="55"/>
      <c r="D13" s="55"/>
      <c r="E13" s="55"/>
      <c r="F13" s="55"/>
      <c r="G13" s="84"/>
      <c r="H13" s="55"/>
      <c r="I13" s="55"/>
      <c r="J13" s="55"/>
    </row>
    <row r="14" spans="1:10" s="82" customFormat="1" ht="12.75">
      <c r="A14" s="83"/>
      <c r="B14" s="83"/>
      <c r="C14" s="55"/>
      <c r="D14" s="55"/>
      <c r="E14" s="55"/>
      <c r="F14" s="55"/>
      <c r="G14" s="84"/>
      <c r="H14" s="55"/>
      <c r="I14" s="55"/>
      <c r="J14" s="55"/>
    </row>
    <row r="15" spans="1:10" s="82" customFormat="1" ht="12.75">
      <c r="A15" s="83"/>
      <c r="B15" s="83"/>
      <c r="C15" s="55"/>
      <c r="D15" s="55"/>
      <c r="E15" s="55"/>
      <c r="F15" s="55"/>
      <c r="G15" s="84"/>
      <c r="H15" s="55"/>
      <c r="I15" s="55"/>
      <c r="J15" s="55"/>
    </row>
    <row r="16" spans="1:10" ht="15">
      <c r="A16" s="85" t="s">
        <v>182</v>
      </c>
      <c r="B16" s="86"/>
      <c r="C16" s="86"/>
      <c r="D16" s="86"/>
      <c r="E16" s="86"/>
      <c r="F16" s="86"/>
      <c r="G16" s="14"/>
      <c r="H16" s="14"/>
      <c r="I16" s="14"/>
      <c r="J16" s="14"/>
    </row>
    <row r="17" spans="1:10" ht="13.5" thickBot="1">
      <c r="A17" s="14"/>
      <c r="B17" s="14"/>
      <c r="C17" s="14"/>
      <c r="D17" s="14"/>
      <c r="E17" s="14"/>
      <c r="F17" s="14"/>
      <c r="G17" s="14"/>
      <c r="H17" s="14"/>
      <c r="I17" s="14"/>
      <c r="J17" s="14"/>
    </row>
    <row r="18" spans="1:10" ht="12.75">
      <c r="A18" s="87" t="s">
        <v>37</v>
      </c>
      <c r="B18" s="88"/>
      <c r="C18" s="89" t="s">
        <v>112</v>
      </c>
      <c r="D18" s="89"/>
      <c r="E18" s="90" t="s">
        <v>62</v>
      </c>
      <c r="F18" s="91" t="s">
        <v>116</v>
      </c>
      <c r="G18" s="90" t="s">
        <v>114</v>
      </c>
      <c r="H18" s="91" t="s">
        <v>115</v>
      </c>
      <c r="I18" s="90" t="s">
        <v>183</v>
      </c>
      <c r="J18" s="92" t="s">
        <v>184</v>
      </c>
    </row>
    <row r="19" spans="1:10" ht="12.75">
      <c r="A19" s="93"/>
      <c r="B19" s="94"/>
      <c r="C19" s="95"/>
      <c r="D19" s="95"/>
      <c r="E19" s="96"/>
      <c r="F19" s="97" t="s">
        <v>185</v>
      </c>
      <c r="G19" s="96"/>
      <c r="H19" s="97" t="s">
        <v>185</v>
      </c>
      <c r="I19" s="96" t="s">
        <v>185</v>
      </c>
      <c r="J19" s="98" t="s">
        <v>186</v>
      </c>
    </row>
    <row r="20" spans="1:10" ht="12.75">
      <c r="A20" s="102" t="s">
        <v>39</v>
      </c>
      <c r="B20" s="18" t="s">
        <v>187</v>
      </c>
      <c r="C20" s="16"/>
      <c r="D20" s="16"/>
      <c r="E20" s="65" t="s">
        <v>96</v>
      </c>
      <c r="F20" s="103">
        <v>40</v>
      </c>
      <c r="G20" s="104">
        <f>NumOfTrunkGroups</f>
        <v>30</v>
      </c>
      <c r="H20" s="99">
        <f>F20*G20</f>
        <v>1200</v>
      </c>
      <c r="I20" s="100">
        <f>H20+(OverheadOfProtocolHeader+16)*NumOfPeripherals</f>
        <v>1286</v>
      </c>
      <c r="J20" s="101">
        <v>1800</v>
      </c>
    </row>
    <row r="21" spans="1:10" ht="12.75">
      <c r="A21" s="102" t="s">
        <v>39</v>
      </c>
      <c r="B21" s="18" t="s">
        <v>188</v>
      </c>
      <c r="C21" s="16"/>
      <c r="D21" s="16"/>
      <c r="E21" s="65" t="s">
        <v>96</v>
      </c>
      <c r="F21" s="103">
        <v>40</v>
      </c>
      <c r="G21" s="104">
        <f>NumOfNetTrunkGroups</f>
        <v>30</v>
      </c>
      <c r="H21" s="99">
        <f>F21*G21</f>
        <v>1200</v>
      </c>
      <c r="I21" s="100">
        <f>H21+(OverheadOfProtocolHeader+16)*NumOfPeripherals</f>
        <v>1286</v>
      </c>
      <c r="J21" s="101">
        <v>1800</v>
      </c>
    </row>
    <row r="22" spans="1:10" ht="12.75">
      <c r="A22" s="102" t="s">
        <v>39</v>
      </c>
      <c r="B22" s="18" t="s">
        <v>118</v>
      </c>
      <c r="C22" s="16"/>
      <c r="D22" s="16"/>
      <c r="E22" s="65" t="s">
        <v>96</v>
      </c>
      <c r="F22" s="103">
        <v>208</v>
      </c>
      <c r="G22" s="104">
        <f>NumOfServices</f>
        <v>30</v>
      </c>
      <c r="H22" s="99">
        <f>F22*G22</f>
        <v>6240</v>
      </c>
      <c r="I22" s="100">
        <f>H22+(OverheadOfProtocolHeader+16)*NumOfPeripherals</f>
        <v>6326</v>
      </c>
      <c r="J22" s="101">
        <v>1800</v>
      </c>
    </row>
    <row r="23" spans="1:10" ht="12.75">
      <c r="A23" s="102" t="s">
        <v>39</v>
      </c>
      <c r="B23" s="18" t="s">
        <v>169</v>
      </c>
      <c r="C23" s="16"/>
      <c r="D23" s="16"/>
      <c r="E23" s="65" t="s">
        <v>96</v>
      </c>
      <c r="F23" s="103">
        <v>110</v>
      </c>
      <c r="G23" s="104">
        <f>NumOfRoutes</f>
        <v>30</v>
      </c>
      <c r="H23" s="99">
        <f>F23*G23</f>
        <v>3300</v>
      </c>
      <c r="I23" s="100">
        <f>H23+(OverheadOfProtocolHeader+16)*NumOfPeripherals</f>
        <v>3386</v>
      </c>
      <c r="J23" s="101">
        <v>1800</v>
      </c>
    </row>
    <row r="24" spans="1:10" ht="12.75">
      <c r="A24" s="102" t="s">
        <v>39</v>
      </c>
      <c r="B24" s="18" t="s">
        <v>117</v>
      </c>
      <c r="C24" s="16"/>
      <c r="D24" s="16"/>
      <c r="E24" s="65" t="s">
        <v>96</v>
      </c>
      <c r="F24" s="103">
        <v>72</v>
      </c>
      <c r="G24" s="104">
        <f>NumOfPeripherals</f>
        <v>1</v>
      </c>
      <c r="H24" s="99">
        <f>F24*G24</f>
        <v>72</v>
      </c>
      <c r="I24" s="100">
        <f>H24+(OverheadOfProtocolHeader+16)*NumOfPeripherals</f>
        <v>158</v>
      </c>
      <c r="J24" s="101">
        <v>1800</v>
      </c>
    </row>
    <row r="25" spans="1:10" ht="13.5" thickBot="1">
      <c r="A25" s="105"/>
      <c r="B25" s="19"/>
      <c r="C25" s="15"/>
      <c r="D25" s="15"/>
      <c r="E25" s="66"/>
      <c r="F25" s="17"/>
      <c r="G25" s="66"/>
      <c r="H25" s="17"/>
      <c r="I25" s="66"/>
      <c r="J25" s="106"/>
    </row>
    <row r="26" spans="1:10" ht="12.75">
      <c r="A26" s="107" t="s">
        <v>189</v>
      </c>
      <c r="B26" s="107"/>
      <c r="C26" s="14"/>
      <c r="D26" s="16"/>
      <c r="E26" s="16"/>
      <c r="F26" s="16"/>
      <c r="G26" s="103">
        <f>SUM(I20:I24)*8</f>
        <v>99536</v>
      </c>
      <c r="H26" s="16"/>
      <c r="I26" s="14"/>
      <c r="J26" s="14"/>
    </row>
    <row r="27" spans="1:10" ht="12.75">
      <c r="A27" s="107" t="s">
        <v>190</v>
      </c>
      <c r="B27" s="14"/>
      <c r="C27" s="14"/>
      <c r="D27" s="14"/>
      <c r="E27" s="14"/>
      <c r="F27" s="14"/>
      <c r="G27" s="127">
        <f>G26/1800</f>
        <v>55.297777777777775</v>
      </c>
      <c r="H27" s="14"/>
      <c r="I27" s="14"/>
      <c r="J27" s="14"/>
    </row>
    <row r="31" spans="1:10" ht="15">
      <c r="A31" s="108" t="s">
        <v>192</v>
      </c>
      <c r="B31" s="1"/>
      <c r="C31" s="1"/>
      <c r="D31" s="1"/>
      <c r="E31" s="1"/>
      <c r="F31" s="1"/>
      <c r="G31" s="1"/>
      <c r="H31" s="1"/>
      <c r="I31" s="1"/>
      <c r="J31" s="1"/>
    </row>
    <row r="32" spans="1:10" ht="13.5" thickBot="1">
      <c r="A32" s="1"/>
      <c r="B32" s="1"/>
      <c r="C32" s="1"/>
      <c r="D32" s="1"/>
      <c r="E32" s="1"/>
      <c r="F32" s="1"/>
      <c r="G32" s="1"/>
      <c r="H32" s="1"/>
      <c r="I32" s="1"/>
      <c r="J32" s="1"/>
    </row>
    <row r="33" spans="1:10" ht="12.75">
      <c r="A33" s="109" t="s">
        <v>37</v>
      </c>
      <c r="B33" s="110"/>
      <c r="C33" s="111" t="s">
        <v>33</v>
      </c>
      <c r="D33" s="112"/>
      <c r="E33" s="113" t="s">
        <v>62</v>
      </c>
      <c r="F33" s="113" t="s">
        <v>11</v>
      </c>
      <c r="G33" s="114" t="s">
        <v>184</v>
      </c>
      <c r="H33" s="1"/>
      <c r="I33" s="1"/>
      <c r="J33" s="1"/>
    </row>
    <row r="34" spans="1:10" ht="12.75">
      <c r="A34" s="115"/>
      <c r="B34" s="116"/>
      <c r="C34" s="117"/>
      <c r="D34" s="118"/>
      <c r="E34" s="119"/>
      <c r="F34" s="120" t="s">
        <v>185</v>
      </c>
      <c r="G34" s="121" t="s">
        <v>186</v>
      </c>
      <c r="H34" s="1"/>
      <c r="I34" s="1"/>
      <c r="J34" s="1"/>
    </row>
    <row r="35" spans="1:10" ht="12.75">
      <c r="A35" s="3" t="s">
        <v>40</v>
      </c>
      <c r="B35" s="5" t="s">
        <v>193</v>
      </c>
      <c r="C35" s="4"/>
      <c r="D35" s="6"/>
      <c r="E35" s="71" t="s">
        <v>96</v>
      </c>
      <c r="F35" s="71">
        <f>4+OverheadOfProtocolHeader</f>
        <v>74</v>
      </c>
      <c r="G35" s="67">
        <v>300</v>
      </c>
      <c r="H35" s="1"/>
      <c r="I35" s="1"/>
      <c r="J35" s="1"/>
    </row>
    <row r="36" spans="1:10" ht="12.75">
      <c r="A36" s="3" t="s">
        <v>39</v>
      </c>
      <c r="B36" s="5" t="s">
        <v>194</v>
      </c>
      <c r="C36" s="4"/>
      <c r="D36" s="6"/>
      <c r="E36" s="71" t="s">
        <v>96</v>
      </c>
      <c r="F36" s="71">
        <f>260+OverheadOfProtocolHeader</f>
        <v>330</v>
      </c>
      <c r="G36" s="67">
        <v>300</v>
      </c>
      <c r="H36" s="1"/>
      <c r="I36" s="1"/>
      <c r="J36" s="1"/>
    </row>
    <row r="37" spans="1:10" ht="13.5" thickBot="1">
      <c r="A37" s="9"/>
      <c r="B37" s="10"/>
      <c r="C37" s="2"/>
      <c r="D37" s="11"/>
      <c r="E37" s="70"/>
      <c r="F37" s="70"/>
      <c r="G37" s="68"/>
      <c r="H37" s="1"/>
      <c r="I37" s="1"/>
      <c r="J37" s="1"/>
    </row>
    <row r="38" spans="1:10" ht="12.75">
      <c r="A38" s="63" t="s">
        <v>189</v>
      </c>
      <c r="B38" s="1"/>
      <c r="C38" s="1"/>
      <c r="D38" s="1"/>
      <c r="E38" s="1"/>
      <c r="F38" s="1"/>
      <c r="G38" s="122">
        <f>F36*8</f>
        <v>2640</v>
      </c>
      <c r="H38" s="1"/>
      <c r="I38" s="1"/>
      <c r="J38" s="1"/>
    </row>
    <row r="39" spans="1:10" ht="12.75">
      <c r="A39" s="63" t="s">
        <v>195</v>
      </c>
      <c r="B39" s="1"/>
      <c r="C39" s="1"/>
      <c r="D39" s="1"/>
      <c r="E39" s="1"/>
      <c r="F39" s="1"/>
      <c r="G39" s="122">
        <f>F35*8</f>
        <v>592</v>
      </c>
      <c r="H39" s="1"/>
      <c r="I39" s="1"/>
      <c r="J39" s="1"/>
    </row>
    <row r="40" spans="1:14" ht="12.75">
      <c r="A40" s="83"/>
      <c r="B40" s="82"/>
      <c r="C40" s="82"/>
      <c r="D40" s="82"/>
      <c r="E40" s="82"/>
      <c r="F40" s="82"/>
      <c r="G40" s="82"/>
      <c r="H40" s="82"/>
      <c r="I40" s="82"/>
      <c r="J40" s="82"/>
      <c r="K40" s="82"/>
      <c r="L40" s="82"/>
      <c r="M40" s="82"/>
      <c r="N40" s="82"/>
    </row>
    <row r="41" spans="1:14" ht="12.75">
      <c r="A41" s="82"/>
      <c r="B41" s="82"/>
      <c r="C41" s="82"/>
      <c r="D41" s="82"/>
      <c r="E41" s="82"/>
      <c r="F41" s="82"/>
      <c r="G41" s="82"/>
      <c r="H41" s="82"/>
      <c r="I41" s="82"/>
      <c r="J41" s="82"/>
      <c r="K41" s="82"/>
      <c r="L41" s="82"/>
      <c r="M41" s="82"/>
      <c r="N41" s="82"/>
    </row>
    <row r="42" spans="1:10" ht="15">
      <c r="A42" s="108" t="s">
        <v>196</v>
      </c>
      <c r="B42" s="1"/>
      <c r="C42" s="1"/>
      <c r="D42" s="1"/>
      <c r="E42" s="1"/>
      <c r="F42" s="1"/>
      <c r="G42" s="1"/>
      <c r="H42" s="1"/>
      <c r="I42" s="1"/>
      <c r="J42" s="1"/>
    </row>
    <row r="43" spans="1:10" ht="13.5" thickBot="1">
      <c r="A43" s="1"/>
      <c r="B43" s="1"/>
      <c r="C43" s="1"/>
      <c r="D43" s="1"/>
      <c r="E43" s="1"/>
      <c r="F43" s="1"/>
      <c r="G43" s="1"/>
      <c r="H43" s="1"/>
      <c r="I43" s="1"/>
      <c r="J43" s="1"/>
    </row>
    <row r="44" spans="1:10" ht="12.75">
      <c r="A44" s="109" t="s">
        <v>37</v>
      </c>
      <c r="B44" s="110"/>
      <c r="C44" s="111" t="s">
        <v>33</v>
      </c>
      <c r="D44" s="112"/>
      <c r="E44" s="113" t="s">
        <v>62</v>
      </c>
      <c r="F44" s="113" t="s">
        <v>11</v>
      </c>
      <c r="G44" s="114" t="s">
        <v>184</v>
      </c>
      <c r="H44" s="1"/>
      <c r="I44" s="1"/>
      <c r="J44" s="1"/>
    </row>
    <row r="45" spans="1:10" ht="12.75">
      <c r="A45" s="115"/>
      <c r="B45" s="116"/>
      <c r="C45" s="117"/>
      <c r="D45" s="118"/>
      <c r="E45" s="119"/>
      <c r="F45" s="120" t="s">
        <v>185</v>
      </c>
      <c r="G45" s="121" t="s">
        <v>186</v>
      </c>
      <c r="H45" s="1"/>
      <c r="I45" s="1"/>
      <c r="J45" s="1"/>
    </row>
    <row r="46" spans="1:10" ht="12.75">
      <c r="A46" s="3" t="s">
        <v>39</v>
      </c>
      <c r="B46" s="5" t="s">
        <v>197</v>
      </c>
      <c r="C46" s="4"/>
      <c r="D46" s="6"/>
      <c r="E46" s="71" t="s">
        <v>94</v>
      </c>
      <c r="F46" s="71">
        <f>2+OverheadOfProtocolHeader</f>
        <v>72</v>
      </c>
      <c r="G46" s="67">
        <v>15</v>
      </c>
      <c r="H46" s="1"/>
      <c r="I46" s="1"/>
      <c r="J46" s="1"/>
    </row>
    <row r="47" spans="1:10" ht="13.5" thickBot="1">
      <c r="A47" s="9"/>
      <c r="B47" s="10"/>
      <c r="C47" s="2"/>
      <c r="D47" s="11"/>
      <c r="E47" s="70"/>
      <c r="F47" s="70"/>
      <c r="G47" s="68"/>
      <c r="H47" s="1"/>
      <c r="I47" s="1"/>
      <c r="J47" s="1"/>
    </row>
    <row r="48" spans="1:10" ht="12.75">
      <c r="A48" s="63" t="s">
        <v>198</v>
      </c>
      <c r="B48" s="4"/>
      <c r="C48" s="4"/>
      <c r="D48" s="4"/>
      <c r="E48" s="7"/>
      <c r="F48" s="4"/>
      <c r="G48" s="64">
        <f>F46*8</f>
        <v>576</v>
      </c>
      <c r="H48" s="1"/>
      <c r="I48" s="1"/>
      <c r="J48" s="1"/>
    </row>
    <row r="49" spans="1:8" ht="12.75">
      <c r="A49" s="82"/>
      <c r="B49" s="82"/>
      <c r="C49" s="82"/>
      <c r="D49" s="82"/>
      <c r="E49" s="82"/>
      <c r="F49" s="82"/>
      <c r="G49" s="82"/>
      <c r="H49" s="82"/>
    </row>
    <row r="50" spans="1:8" ht="12.75">
      <c r="A50" s="82"/>
      <c r="B50" s="82"/>
      <c r="C50" s="82"/>
      <c r="D50" s="82"/>
      <c r="E50" s="82"/>
      <c r="F50" s="82"/>
      <c r="G50" s="82"/>
      <c r="H50" s="82"/>
    </row>
    <row r="51" spans="1:10" ht="15">
      <c r="A51" s="108" t="s">
        <v>199</v>
      </c>
      <c r="B51" s="1"/>
      <c r="C51" s="1"/>
      <c r="D51" s="1"/>
      <c r="E51" s="1"/>
      <c r="F51" s="1"/>
      <c r="G51" s="1"/>
      <c r="H51" s="1"/>
      <c r="I51" s="1"/>
      <c r="J51" s="1"/>
    </row>
    <row r="52" spans="1:10" ht="13.5" thickBot="1">
      <c r="A52" s="1"/>
      <c r="B52" s="1"/>
      <c r="C52" s="1"/>
      <c r="D52" s="1"/>
      <c r="E52" s="1"/>
      <c r="F52" s="1"/>
      <c r="G52" s="1"/>
      <c r="H52" s="1"/>
      <c r="I52" s="1"/>
      <c r="J52" s="1"/>
    </row>
    <row r="53" spans="1:10" ht="12.75">
      <c r="A53" s="109" t="s">
        <v>37</v>
      </c>
      <c r="B53" s="110"/>
      <c r="C53" s="111" t="s">
        <v>33</v>
      </c>
      <c r="D53" s="112"/>
      <c r="E53" s="113" t="s">
        <v>62</v>
      </c>
      <c r="F53" s="113" t="s">
        <v>11</v>
      </c>
      <c r="G53" s="123" t="s">
        <v>200</v>
      </c>
      <c r="H53" s="62"/>
      <c r="I53" s="62"/>
      <c r="J53" s="124"/>
    </row>
    <row r="54" spans="1:10" ht="12.75">
      <c r="A54" s="115"/>
      <c r="B54" s="116"/>
      <c r="C54" s="117"/>
      <c r="D54" s="118"/>
      <c r="E54" s="119"/>
      <c r="F54" s="120" t="s">
        <v>185</v>
      </c>
      <c r="G54" s="116"/>
      <c r="H54" s="125"/>
      <c r="I54" s="125"/>
      <c r="J54" s="126"/>
    </row>
    <row r="55" spans="1:10" ht="12.75">
      <c r="A55" s="3" t="s">
        <v>39</v>
      </c>
      <c r="B55" s="5" t="s">
        <v>201</v>
      </c>
      <c r="C55" s="4"/>
      <c r="D55" s="6"/>
      <c r="E55" s="71" t="s">
        <v>94</v>
      </c>
      <c r="F55" s="71">
        <f>12+OverheadOfProtocolHeader-8</f>
        <v>74</v>
      </c>
      <c r="G55" s="7"/>
      <c r="H55" s="7">
        <v>10</v>
      </c>
      <c r="I55" s="4"/>
      <c r="J55" s="8"/>
    </row>
    <row r="56" spans="1:10" ht="12.75">
      <c r="A56" s="3" t="s">
        <v>40</v>
      </c>
      <c r="B56" s="5" t="s">
        <v>201</v>
      </c>
      <c r="C56" s="4"/>
      <c r="D56" s="6"/>
      <c r="E56" s="71" t="s">
        <v>94</v>
      </c>
      <c r="F56" s="71">
        <f>12+OverheadOfProtocolHeader-8</f>
        <v>74</v>
      </c>
      <c r="G56" s="7"/>
      <c r="H56" s="7">
        <v>10</v>
      </c>
      <c r="I56" s="4"/>
      <c r="J56" s="8"/>
    </row>
    <row r="57" spans="1:10" ht="13.5" thickBot="1">
      <c r="A57" s="9"/>
      <c r="B57" s="10"/>
      <c r="C57" s="2"/>
      <c r="D57" s="11"/>
      <c r="E57" s="70"/>
      <c r="F57" s="70"/>
      <c r="G57" s="12"/>
      <c r="H57" s="12"/>
      <c r="I57" s="2"/>
      <c r="J57" s="13"/>
    </row>
    <row r="58" spans="1:10" ht="12.75">
      <c r="A58" s="63" t="s">
        <v>202</v>
      </c>
      <c r="B58" s="4"/>
      <c r="C58" s="4"/>
      <c r="D58" s="4"/>
      <c r="E58" s="7"/>
      <c r="F58" s="4"/>
      <c r="G58" s="7"/>
      <c r="H58" s="122">
        <v>493.3333333333333</v>
      </c>
      <c r="I58" s="1"/>
      <c r="J58" s="1"/>
    </row>
    <row r="59" spans="1:14" ht="12.75">
      <c r="A59" s="82"/>
      <c r="B59" s="82"/>
      <c r="C59" s="82"/>
      <c r="D59" s="82"/>
      <c r="E59" s="82"/>
      <c r="F59" s="82"/>
      <c r="G59" s="82"/>
      <c r="H59" s="82"/>
      <c r="I59" s="82"/>
      <c r="J59" s="82"/>
      <c r="K59" s="82"/>
      <c r="L59" s="82"/>
      <c r="M59" s="82"/>
      <c r="N59" s="82"/>
    </row>
    <row r="60" spans="1:14" ht="12.75">
      <c r="A60" s="82"/>
      <c r="B60" s="82"/>
      <c r="C60" s="82"/>
      <c r="D60" s="82"/>
      <c r="E60" s="82"/>
      <c r="F60" s="82"/>
      <c r="G60" s="82"/>
      <c r="H60" s="82"/>
      <c r="I60" s="82"/>
      <c r="J60" s="82"/>
      <c r="K60" s="82"/>
      <c r="L60" s="82"/>
      <c r="M60" s="82"/>
      <c r="N60" s="82"/>
    </row>
    <row r="61" spans="1:10" ht="15">
      <c r="A61" s="108" t="s">
        <v>203</v>
      </c>
      <c r="B61" s="1"/>
      <c r="C61" s="1"/>
      <c r="D61" s="1"/>
      <c r="E61" s="1"/>
      <c r="F61" s="1"/>
      <c r="G61" s="1"/>
      <c r="H61" s="1"/>
      <c r="I61" s="1"/>
      <c r="J61" s="1"/>
    </row>
    <row r="62" spans="1:10" ht="13.5" thickBot="1">
      <c r="A62" s="1"/>
      <c r="B62" s="1"/>
      <c r="C62" s="1"/>
      <c r="D62" s="1"/>
      <c r="E62" s="1"/>
      <c r="F62" s="1"/>
      <c r="G62" s="1"/>
      <c r="H62" s="1"/>
      <c r="I62" s="1"/>
      <c r="J62" s="1"/>
    </row>
    <row r="63" spans="1:10" ht="12.75">
      <c r="A63" s="109" t="s">
        <v>37</v>
      </c>
      <c r="B63" s="110"/>
      <c r="C63" s="111" t="s">
        <v>33</v>
      </c>
      <c r="D63" s="112"/>
      <c r="E63" s="113" t="s">
        <v>62</v>
      </c>
      <c r="F63" s="113" t="s">
        <v>11</v>
      </c>
      <c r="G63" s="114" t="s">
        <v>184</v>
      </c>
      <c r="H63" s="1"/>
      <c r="I63" s="1"/>
      <c r="J63" s="1"/>
    </row>
    <row r="64" spans="1:10" ht="12.75">
      <c r="A64" s="115"/>
      <c r="B64" s="116"/>
      <c r="C64" s="117"/>
      <c r="D64" s="118"/>
      <c r="E64" s="119"/>
      <c r="F64" s="120" t="s">
        <v>185</v>
      </c>
      <c r="G64" s="121" t="s">
        <v>186</v>
      </c>
      <c r="H64" s="1"/>
      <c r="I64" s="1"/>
      <c r="J64" s="1"/>
    </row>
    <row r="65" spans="1:10" ht="12.75">
      <c r="A65" s="3" t="s">
        <v>39</v>
      </c>
      <c r="B65" s="5" t="s">
        <v>204</v>
      </c>
      <c r="C65" s="4"/>
      <c r="D65" s="6"/>
      <c r="E65" s="71" t="s">
        <v>94</v>
      </c>
      <c r="F65" s="69">
        <f aca="true" t="shared" si="0" ref="F65:F70">4+OverheadOfProtocolHeader-8</f>
        <v>66</v>
      </c>
      <c r="G65" s="67">
        <v>60</v>
      </c>
      <c r="H65" s="1"/>
      <c r="I65" s="1"/>
      <c r="J65" s="1"/>
    </row>
    <row r="66" spans="1:10" ht="12.75">
      <c r="A66" s="3" t="s">
        <v>39</v>
      </c>
      <c r="B66" s="5" t="s">
        <v>204</v>
      </c>
      <c r="C66" s="4"/>
      <c r="D66" s="6"/>
      <c r="E66" s="71" t="s">
        <v>95</v>
      </c>
      <c r="F66" s="71">
        <f t="shared" si="0"/>
        <v>66</v>
      </c>
      <c r="G66" s="67">
        <v>60</v>
      </c>
      <c r="H66" s="1"/>
      <c r="I66" s="1"/>
      <c r="J66" s="1"/>
    </row>
    <row r="67" spans="1:10" ht="12.75">
      <c r="A67" s="3" t="s">
        <v>39</v>
      </c>
      <c r="B67" s="5" t="s">
        <v>204</v>
      </c>
      <c r="C67" s="4"/>
      <c r="D67" s="6"/>
      <c r="E67" s="71" t="s">
        <v>96</v>
      </c>
      <c r="F67" s="71">
        <f t="shared" si="0"/>
        <v>66</v>
      </c>
      <c r="G67" s="67">
        <v>60</v>
      </c>
      <c r="H67" s="1"/>
      <c r="I67" s="1"/>
      <c r="J67" s="1"/>
    </row>
    <row r="68" spans="1:10" ht="12.75">
      <c r="A68" s="3" t="s">
        <v>40</v>
      </c>
      <c r="B68" s="5" t="s">
        <v>204</v>
      </c>
      <c r="C68" s="4"/>
      <c r="D68" s="6"/>
      <c r="E68" s="71" t="s">
        <v>94</v>
      </c>
      <c r="F68" s="71">
        <f t="shared" si="0"/>
        <v>66</v>
      </c>
      <c r="G68" s="67">
        <v>60</v>
      </c>
      <c r="H68" s="1"/>
      <c r="I68" s="1"/>
      <c r="J68" s="1"/>
    </row>
    <row r="69" spans="1:10" ht="12.75">
      <c r="A69" s="3" t="s">
        <v>40</v>
      </c>
      <c r="B69" s="5" t="s">
        <v>204</v>
      </c>
      <c r="C69" s="4"/>
      <c r="D69" s="6"/>
      <c r="E69" s="71" t="s">
        <v>95</v>
      </c>
      <c r="F69" s="71">
        <f t="shared" si="0"/>
        <v>66</v>
      </c>
      <c r="G69" s="67">
        <v>60</v>
      </c>
      <c r="H69" s="1"/>
      <c r="I69" s="1"/>
      <c r="J69" s="1"/>
    </row>
    <row r="70" spans="1:10" ht="13.5" thickBot="1">
      <c r="A70" s="9" t="s">
        <v>40</v>
      </c>
      <c r="B70" s="10" t="s">
        <v>204</v>
      </c>
      <c r="C70" s="2"/>
      <c r="D70" s="11"/>
      <c r="E70" s="70" t="s">
        <v>96</v>
      </c>
      <c r="F70" s="70">
        <f t="shared" si="0"/>
        <v>66</v>
      </c>
      <c r="G70" s="68">
        <v>60</v>
      </c>
      <c r="H70" s="1"/>
      <c r="I70" s="1"/>
      <c r="J70" s="1"/>
    </row>
    <row r="71" spans="1:10" ht="12.75">
      <c r="A71" s="63" t="s">
        <v>205</v>
      </c>
      <c r="B71" s="4"/>
      <c r="C71" s="4"/>
      <c r="D71" s="4"/>
      <c r="E71" s="7"/>
      <c r="F71" s="4"/>
      <c r="G71" s="7">
        <f>F65*8</f>
        <v>528</v>
      </c>
      <c r="H71" s="1"/>
      <c r="I71" s="1"/>
      <c r="J71" s="1"/>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41"/>
  <sheetViews>
    <sheetView workbookViewId="0" topLeftCell="A1">
      <selection activeCell="C57" sqref="C57:D57"/>
    </sheetView>
  </sheetViews>
  <sheetFormatPr defaultColWidth="9.140625" defaultRowHeight="12.75"/>
  <cols>
    <col min="8" max="8" width="10.140625" style="0" bestFit="1" customWidth="1"/>
  </cols>
  <sheetData>
    <row r="1" ht="15">
      <c r="A1" s="26" t="s">
        <v>108</v>
      </c>
    </row>
    <row r="2" ht="12.75">
      <c r="A2" s="25" t="s">
        <v>158</v>
      </c>
    </row>
    <row r="3" ht="13.5" thickBot="1"/>
    <row r="4" spans="1:14" ht="12.75">
      <c r="A4" s="33"/>
      <c r="B4" s="27"/>
      <c r="C4" s="29" t="s">
        <v>102</v>
      </c>
      <c r="D4" s="27"/>
      <c r="E4" s="27"/>
      <c r="F4" s="27"/>
      <c r="G4" s="40"/>
      <c r="H4" s="41"/>
      <c r="I4" s="41"/>
      <c r="J4" s="41"/>
      <c r="K4" s="42" t="s">
        <v>159</v>
      </c>
      <c r="L4" s="43"/>
      <c r="M4" s="43"/>
      <c r="N4" s="44"/>
    </row>
    <row r="5" spans="1:14" ht="12.75">
      <c r="A5" s="34"/>
      <c r="B5" s="30"/>
      <c r="C5" s="30"/>
      <c r="D5" s="30"/>
      <c r="E5" s="30"/>
      <c r="F5" s="30"/>
      <c r="G5" s="76"/>
      <c r="H5" s="77" t="s">
        <v>94</v>
      </c>
      <c r="I5" s="76"/>
      <c r="J5" s="77" t="s">
        <v>95</v>
      </c>
      <c r="K5" s="78"/>
      <c r="L5" s="77" t="s">
        <v>96</v>
      </c>
      <c r="M5" s="79"/>
      <c r="N5" s="80" t="s">
        <v>97</v>
      </c>
    </row>
    <row r="6" spans="1:14" ht="12.75">
      <c r="A6" s="35" t="s">
        <v>98</v>
      </c>
      <c r="B6" s="32"/>
      <c r="C6" s="32"/>
      <c r="D6" s="32"/>
      <c r="E6" s="32"/>
      <c r="F6" s="32"/>
      <c r="G6" s="56"/>
      <c r="H6" s="57"/>
      <c r="I6" s="56"/>
      <c r="J6" s="57">
        <f>MeanVolOfCtrlTblUpdateIndFlow</f>
        <v>9325.985185185185</v>
      </c>
      <c r="K6" s="56"/>
      <c r="L6" s="57"/>
      <c r="M6" s="58"/>
      <c r="N6" s="59"/>
    </row>
    <row r="7" spans="1:14" ht="12.75">
      <c r="A7" s="36" t="s">
        <v>104</v>
      </c>
      <c r="B7" s="28"/>
      <c r="C7" s="28"/>
      <c r="D7" s="28"/>
      <c r="E7" s="28"/>
      <c r="F7" s="28"/>
      <c r="G7" s="56"/>
      <c r="H7" s="57"/>
      <c r="I7" s="56"/>
      <c r="J7" s="57"/>
      <c r="K7" s="56"/>
      <c r="L7" s="57"/>
      <c r="M7" s="58"/>
      <c r="N7" s="59"/>
    </row>
    <row r="8" spans="1:14" ht="12.75">
      <c r="A8" s="36" t="s">
        <v>103</v>
      </c>
      <c r="B8" s="28"/>
      <c r="C8" s="28"/>
      <c r="D8" s="28"/>
      <c r="E8" s="28"/>
      <c r="F8" s="28"/>
      <c r="G8" s="56"/>
      <c r="H8" s="57"/>
      <c r="I8" s="56"/>
      <c r="J8" s="57"/>
      <c r="K8" s="56"/>
      <c r="L8" s="57">
        <f>BurstVolOfCtrlTblUpdateHHIndFlow</f>
        <v>99536</v>
      </c>
      <c r="M8" s="58"/>
      <c r="N8" s="59"/>
    </row>
    <row r="9" spans="1:14" ht="12.75">
      <c r="A9" s="36" t="s">
        <v>101</v>
      </c>
      <c r="B9" s="28"/>
      <c r="C9" s="28"/>
      <c r="D9" s="28"/>
      <c r="E9" s="28"/>
      <c r="F9" s="28"/>
      <c r="G9" s="56"/>
      <c r="H9" s="57">
        <f>'Major Factors &amp; Volume Summary'!G38*CallRate/3600</f>
        <v>71377.77777777778</v>
      </c>
      <c r="I9" s="56"/>
      <c r="J9" s="57"/>
      <c r="K9" s="56"/>
      <c r="L9" s="57">
        <f>'Major Factors &amp; Volume Summary'!G40*CallRate/3600</f>
        <v>11804.444444444445</v>
      </c>
      <c r="M9" s="58"/>
      <c r="N9" s="59">
        <f>SUM(H9,J9,L9)</f>
        <v>83182.22222222222</v>
      </c>
    </row>
    <row r="10" spans="1:14" ht="12.75">
      <c r="A10" s="36" t="s">
        <v>105</v>
      </c>
      <c r="B10" s="28"/>
      <c r="C10" s="28"/>
      <c r="D10" s="28"/>
      <c r="E10" s="28"/>
      <c r="F10" s="28"/>
      <c r="G10" s="56"/>
      <c r="H10" s="57"/>
      <c r="I10" s="56"/>
      <c r="J10" s="57"/>
      <c r="K10" s="56"/>
      <c r="L10" s="57">
        <f>BurstVolOfRCCallMeters</f>
        <v>2640</v>
      </c>
      <c r="M10" s="58"/>
      <c r="N10" s="59">
        <f>SUM(H10,J10,L10)</f>
        <v>2640</v>
      </c>
    </row>
    <row r="11" spans="1:14" ht="12.75">
      <c r="A11" s="36" t="s">
        <v>106</v>
      </c>
      <c r="B11" s="28"/>
      <c r="C11" s="28"/>
      <c r="D11" s="28"/>
      <c r="E11" s="28"/>
      <c r="F11" s="28"/>
      <c r="G11" s="56"/>
      <c r="H11" s="57">
        <f>BurstVolOfHeartbeat</f>
        <v>576</v>
      </c>
      <c r="I11" s="56"/>
      <c r="J11" s="57"/>
      <c r="K11" s="56"/>
      <c r="L11" s="57"/>
      <c r="M11" s="58"/>
      <c r="N11" s="59"/>
    </row>
    <row r="12" spans="1:14" ht="12.75">
      <c r="A12" s="36" t="s">
        <v>99</v>
      </c>
      <c r="B12" s="28"/>
      <c r="C12" s="28"/>
      <c r="D12" s="28"/>
      <c r="E12" s="28"/>
      <c r="F12" s="28"/>
      <c r="G12" s="56"/>
      <c r="H12" s="57"/>
      <c r="I12" s="56"/>
      <c r="J12" s="57"/>
      <c r="K12" s="56"/>
      <c r="L12" s="57"/>
      <c r="M12" s="58"/>
      <c r="N12" s="59"/>
    </row>
    <row r="13" spans="1:14" ht="12.75">
      <c r="A13" s="36" t="s">
        <v>109</v>
      </c>
      <c r="B13" s="28"/>
      <c r="C13" s="28"/>
      <c r="D13" s="28"/>
      <c r="E13" s="28"/>
      <c r="F13" s="28"/>
      <c r="G13" s="56"/>
      <c r="H13" s="57">
        <f>BurstVolOfDMPNetProbe</f>
        <v>528</v>
      </c>
      <c r="I13" s="56"/>
      <c r="J13" s="57">
        <f>BurstVolOfDMPNetProbe</f>
        <v>528</v>
      </c>
      <c r="K13" s="56"/>
      <c r="L13" s="57">
        <f>BurstVolOfDMPNetProbe</f>
        <v>528</v>
      </c>
      <c r="M13" s="58"/>
      <c r="N13" s="59">
        <f>SUM(H13,J13,L13)</f>
        <v>1584</v>
      </c>
    </row>
    <row r="14" spans="1:14" ht="12.75">
      <c r="A14" s="36" t="s">
        <v>100</v>
      </c>
      <c r="B14" s="28"/>
      <c r="C14" s="28"/>
      <c r="D14" s="28"/>
      <c r="E14" s="28"/>
      <c r="F14" s="28"/>
      <c r="G14" s="56"/>
      <c r="H14" s="57">
        <f>(H22+H26/60)*Overheads!E16</f>
        <v>16213.31911111111</v>
      </c>
      <c r="I14" s="56"/>
      <c r="J14" s="57">
        <f>SUM(J26/60)*Overheads!E17</f>
        <v>0.08800000000000001</v>
      </c>
      <c r="K14" s="56"/>
      <c r="L14" s="57">
        <f>SUM(L23/300,L26/60)*Overheads!E18</f>
        <v>0.10773333333333333</v>
      </c>
      <c r="M14" s="58"/>
      <c r="N14" s="59">
        <f>SUM(H14,J14,L14)</f>
        <v>16213.514844444444</v>
      </c>
    </row>
    <row r="15" spans="1:14" ht="13.5" thickBot="1">
      <c r="A15" s="39" t="s">
        <v>107</v>
      </c>
      <c r="B15" s="37"/>
      <c r="C15" s="37"/>
      <c r="D15" s="37"/>
      <c r="E15" s="37"/>
      <c r="F15" s="38"/>
      <c r="G15" s="72"/>
      <c r="H15" s="73">
        <f>SUM(H9,H11/15,H13/60,H14)</f>
        <v>87638.29688888889</v>
      </c>
      <c r="I15" s="72"/>
      <c r="J15" s="73">
        <f>SUM(J6,J13/60,J14)</f>
        <v>9334.873185185184</v>
      </c>
      <c r="K15" s="72"/>
      <c r="L15" s="73">
        <f>SUM(L8/1800,L9,L10/300,L13/60,L14)</f>
        <v>11877.449955555556</v>
      </c>
      <c r="M15" s="74"/>
      <c r="N15" s="75">
        <f>SUM(H15,J15,L15)</f>
        <v>108850.62002962962</v>
      </c>
    </row>
    <row r="16" ht="13.5" thickBot="1"/>
    <row r="17" spans="1:14" ht="12.75">
      <c r="A17" s="33"/>
      <c r="B17" s="27"/>
      <c r="C17" s="29" t="s">
        <v>102</v>
      </c>
      <c r="D17" s="27"/>
      <c r="E17" s="27"/>
      <c r="F17" s="27"/>
      <c r="G17" s="45"/>
      <c r="H17" s="46"/>
      <c r="I17" s="46"/>
      <c r="J17" s="46"/>
      <c r="K17" s="47" t="s">
        <v>160</v>
      </c>
      <c r="L17" s="48"/>
      <c r="M17" s="48"/>
      <c r="N17" s="49"/>
    </row>
    <row r="18" spans="1:14" ht="12.75">
      <c r="A18" s="34"/>
      <c r="B18" s="30"/>
      <c r="C18" s="30"/>
      <c r="D18" s="30"/>
      <c r="E18" s="30"/>
      <c r="F18" s="30"/>
      <c r="G18" s="76"/>
      <c r="H18" s="77" t="s">
        <v>94</v>
      </c>
      <c r="I18" s="76"/>
      <c r="J18" s="77" t="s">
        <v>95</v>
      </c>
      <c r="K18" s="78"/>
      <c r="L18" s="77" t="s">
        <v>96</v>
      </c>
      <c r="M18" s="79"/>
      <c r="N18" s="80" t="s">
        <v>97</v>
      </c>
    </row>
    <row r="19" spans="1:14" ht="12.75">
      <c r="A19" s="35" t="s">
        <v>98</v>
      </c>
      <c r="B19" s="32"/>
      <c r="C19" s="32"/>
      <c r="D19" s="32"/>
      <c r="E19" s="32"/>
      <c r="F19" s="32"/>
      <c r="G19" s="56"/>
      <c r="H19" s="57"/>
      <c r="I19" s="56"/>
      <c r="J19" s="57"/>
      <c r="K19" s="56"/>
      <c r="L19" s="57"/>
      <c r="M19" s="58"/>
      <c r="N19" s="59"/>
    </row>
    <row r="20" spans="1:14" ht="12.75">
      <c r="A20" s="36" t="s">
        <v>104</v>
      </c>
      <c r="B20" s="28"/>
      <c r="C20" s="28"/>
      <c r="D20" s="28"/>
      <c r="E20" s="28"/>
      <c r="F20" s="28"/>
      <c r="G20" s="56"/>
      <c r="H20" s="57"/>
      <c r="I20" s="56"/>
      <c r="J20" s="57"/>
      <c r="K20" s="56"/>
      <c r="L20" s="57"/>
      <c r="M20" s="58"/>
      <c r="N20" s="59"/>
    </row>
    <row r="21" spans="1:14" ht="12.75">
      <c r="A21" s="36" t="s">
        <v>103</v>
      </c>
      <c r="B21" s="28"/>
      <c r="C21" s="28"/>
      <c r="D21" s="28"/>
      <c r="E21" s="28"/>
      <c r="F21" s="28"/>
      <c r="G21" s="56"/>
      <c r="H21" s="57"/>
      <c r="I21" s="56"/>
      <c r="J21" s="57"/>
      <c r="K21" s="56"/>
      <c r="L21" s="57"/>
      <c r="M21" s="58"/>
      <c r="N21" s="59"/>
    </row>
    <row r="22" spans="1:14" ht="12.75">
      <c r="A22" s="36" t="s">
        <v>101</v>
      </c>
      <c r="B22" s="28"/>
      <c r="C22" s="28"/>
      <c r="D22" s="28"/>
      <c r="E22" s="28"/>
      <c r="F22" s="28"/>
      <c r="G22" s="56"/>
      <c r="H22" s="57">
        <f>'Major Factors &amp; Volume Summary'!G39*CallRate/3600</f>
        <v>101324.44444444444</v>
      </c>
      <c r="I22" s="56"/>
      <c r="J22" s="57"/>
      <c r="K22" s="56"/>
      <c r="L22" s="57"/>
      <c r="M22" s="58"/>
      <c r="N22" s="59">
        <f>SUM(H22,J22,L22)</f>
        <v>101324.44444444444</v>
      </c>
    </row>
    <row r="23" spans="1:14" ht="12.75">
      <c r="A23" s="36" t="s">
        <v>105</v>
      </c>
      <c r="B23" s="28"/>
      <c r="C23" s="28"/>
      <c r="D23" s="28"/>
      <c r="E23" s="28"/>
      <c r="F23" s="28"/>
      <c r="G23" s="56"/>
      <c r="H23" s="57"/>
      <c r="I23" s="56"/>
      <c r="J23" s="57"/>
      <c r="K23" s="56"/>
      <c r="L23" s="57">
        <f>BurstVolOfTimerNotificationInd</f>
        <v>592</v>
      </c>
      <c r="M23" s="58"/>
      <c r="N23" s="59">
        <f>SUM(H23,J23,L23)</f>
        <v>592</v>
      </c>
    </row>
    <row r="24" spans="1:14" ht="12.75">
      <c r="A24" s="36" t="s">
        <v>106</v>
      </c>
      <c r="B24" s="28"/>
      <c r="C24" s="28"/>
      <c r="D24" s="28"/>
      <c r="E24" s="28"/>
      <c r="F24" s="28"/>
      <c r="G24" s="56"/>
      <c r="H24" s="57"/>
      <c r="I24" s="56"/>
      <c r="J24" s="57"/>
      <c r="K24" s="56"/>
      <c r="L24" s="57"/>
      <c r="M24" s="58"/>
      <c r="N24" s="59"/>
    </row>
    <row r="25" spans="1:14" ht="12.75">
      <c r="A25" s="36" t="s">
        <v>99</v>
      </c>
      <c r="B25" s="28"/>
      <c r="C25" s="28"/>
      <c r="D25" s="28"/>
      <c r="E25" s="28"/>
      <c r="F25" s="28"/>
      <c r="G25" s="56"/>
      <c r="H25" s="57"/>
      <c r="I25" s="56"/>
      <c r="J25" s="57"/>
      <c r="K25" s="56"/>
      <c r="L25" s="57"/>
      <c r="M25" s="58"/>
      <c r="N25" s="59"/>
    </row>
    <row r="26" spans="1:14" ht="12.75">
      <c r="A26" s="36" t="s">
        <v>109</v>
      </c>
      <c r="B26" s="28"/>
      <c r="C26" s="28"/>
      <c r="D26" s="28"/>
      <c r="E26" s="28"/>
      <c r="F26" s="28"/>
      <c r="G26" s="56"/>
      <c r="H26" s="57">
        <f>BurstVolOfDMPNetProbe</f>
        <v>528</v>
      </c>
      <c r="I26" s="56"/>
      <c r="J26" s="57">
        <f>BurstVolOfDMPNetProbe</f>
        <v>528</v>
      </c>
      <c r="K26" s="56"/>
      <c r="L26" s="57">
        <f>BurstVolOfDMPNetProbe</f>
        <v>528</v>
      </c>
      <c r="M26" s="58"/>
      <c r="N26" s="59">
        <f>SUM(H26,J26,L26)</f>
        <v>1584</v>
      </c>
    </row>
    <row r="27" spans="1:14" ht="12.75">
      <c r="A27" s="36" t="s">
        <v>100</v>
      </c>
      <c r="B27" s="28"/>
      <c r="C27" s="28"/>
      <c r="D27" s="28"/>
      <c r="E27" s="28"/>
      <c r="F27" s="28"/>
      <c r="G27" s="56"/>
      <c r="H27" s="57">
        <f>SUM(H9,H11/15,H13/60)*Overheads!E19</f>
        <v>5713.9982222222225</v>
      </c>
      <c r="I27" s="56"/>
      <c r="J27" s="57">
        <f>SUM(J6,J13/60)*Overheads!E20</f>
        <v>1213.522074074074</v>
      </c>
      <c r="K27" s="56"/>
      <c r="L27" s="57">
        <f>SUM(L8/1800,L9,L10/300,L13/60)*Overheads!E21</f>
        <v>475.0936888888889</v>
      </c>
      <c r="M27" s="58"/>
      <c r="N27" s="59">
        <f>SUM(H27,J27,L27)</f>
        <v>7402.613985185186</v>
      </c>
    </row>
    <row r="28" spans="1:14" ht="13.5" thickBot="1">
      <c r="A28" s="39" t="s">
        <v>107</v>
      </c>
      <c r="B28" s="37"/>
      <c r="C28" s="37"/>
      <c r="D28" s="37"/>
      <c r="E28" s="37"/>
      <c r="F28" s="38"/>
      <c r="G28" s="72"/>
      <c r="H28" s="73">
        <f>SUM(H22,H26/60,H27)</f>
        <v>107047.24266666666</v>
      </c>
      <c r="I28" s="72"/>
      <c r="J28" s="73">
        <f>SUM(J26/60,J27)</f>
        <v>1222.322074074074</v>
      </c>
      <c r="K28" s="72"/>
      <c r="L28" s="73">
        <f>SUM(L23/300,L26/60,L27)</f>
        <v>485.8670222222222</v>
      </c>
      <c r="M28" s="74"/>
      <c r="N28" s="75">
        <f>SUM(H28,J28,L28)</f>
        <v>108755.43176296297</v>
      </c>
    </row>
    <row r="29" ht="13.5" thickBot="1"/>
    <row r="30" spans="1:14" ht="12.75">
      <c r="A30" s="33"/>
      <c r="B30" s="27"/>
      <c r="C30" s="29" t="s">
        <v>102</v>
      </c>
      <c r="D30" s="27"/>
      <c r="E30" s="27"/>
      <c r="F30" s="27"/>
      <c r="G30" s="50"/>
      <c r="H30" s="51"/>
      <c r="I30" s="51"/>
      <c r="J30" s="51"/>
      <c r="K30" s="52" t="s">
        <v>161</v>
      </c>
      <c r="L30" s="53"/>
      <c r="M30" s="53"/>
      <c r="N30" s="54"/>
    </row>
    <row r="31" spans="1:14" ht="12.75">
      <c r="A31" s="34"/>
      <c r="B31" s="30"/>
      <c r="C31" s="30"/>
      <c r="D31" s="30"/>
      <c r="E31" s="30"/>
      <c r="F31" s="30"/>
      <c r="G31" s="76"/>
      <c r="H31" s="77" t="s">
        <v>94</v>
      </c>
      <c r="I31" s="76"/>
      <c r="J31" s="77" t="s">
        <v>95</v>
      </c>
      <c r="K31" s="78"/>
      <c r="L31" s="77" t="s">
        <v>96</v>
      </c>
      <c r="M31" s="79"/>
      <c r="N31" s="80" t="s">
        <v>97</v>
      </c>
    </row>
    <row r="32" spans="1:14" ht="12.75">
      <c r="A32" s="35" t="s">
        <v>98</v>
      </c>
      <c r="B32" s="32"/>
      <c r="C32" s="32"/>
      <c r="D32" s="32"/>
      <c r="E32" s="32"/>
      <c r="F32" s="32"/>
      <c r="G32" s="56"/>
      <c r="H32" s="57"/>
      <c r="I32" s="56"/>
      <c r="J32" s="57">
        <f>SUM(J6,J19)</f>
        <v>9325.985185185185</v>
      </c>
      <c r="K32" s="56"/>
      <c r="L32" s="57"/>
      <c r="M32" s="58"/>
      <c r="N32" s="59"/>
    </row>
    <row r="33" spans="1:14" ht="12.75">
      <c r="A33" s="36" t="s">
        <v>104</v>
      </c>
      <c r="B33" s="28"/>
      <c r="C33" s="28"/>
      <c r="D33" s="28"/>
      <c r="E33" s="28"/>
      <c r="F33" s="28"/>
      <c r="G33" s="56"/>
      <c r="H33" s="57"/>
      <c r="I33" s="56"/>
      <c r="J33" s="57"/>
      <c r="K33" s="56"/>
      <c r="L33" s="57"/>
      <c r="M33" s="58"/>
      <c r="N33" s="59"/>
    </row>
    <row r="34" spans="1:14" ht="12.75">
      <c r="A34" s="36" t="s">
        <v>103</v>
      </c>
      <c r="B34" s="28"/>
      <c r="C34" s="28"/>
      <c r="D34" s="28"/>
      <c r="E34" s="28"/>
      <c r="F34" s="28"/>
      <c r="G34" s="56"/>
      <c r="H34" s="57"/>
      <c r="I34" s="56"/>
      <c r="J34" s="57"/>
      <c r="K34" s="56"/>
      <c r="L34" s="57"/>
      <c r="M34" s="58"/>
      <c r="N34" s="59"/>
    </row>
    <row r="35" spans="1:14" ht="12.75">
      <c r="A35" s="36" t="s">
        <v>101</v>
      </c>
      <c r="B35" s="28"/>
      <c r="C35" s="28"/>
      <c r="D35" s="28"/>
      <c r="E35" s="28"/>
      <c r="F35" s="28"/>
      <c r="G35" s="56"/>
      <c r="H35" s="57">
        <f>SUM(H9,H22)</f>
        <v>172702.22222222222</v>
      </c>
      <c r="I35" s="56"/>
      <c r="J35" s="57"/>
      <c r="K35" s="56"/>
      <c r="L35" s="57"/>
      <c r="M35" s="58"/>
      <c r="N35" s="59">
        <f>SUM(H35,J35,L35)</f>
        <v>172702.22222222222</v>
      </c>
    </row>
    <row r="36" spans="1:14" ht="12.75">
      <c r="A36" s="36" t="s">
        <v>105</v>
      </c>
      <c r="B36" s="28"/>
      <c r="C36" s="28"/>
      <c r="D36" s="28"/>
      <c r="E36" s="28"/>
      <c r="F36" s="28"/>
      <c r="G36" s="56"/>
      <c r="H36" s="57"/>
      <c r="I36" s="56"/>
      <c r="J36" s="57"/>
      <c r="K36" s="56"/>
      <c r="L36" s="57">
        <f>SUM(L10,L23)</f>
        <v>3232</v>
      </c>
      <c r="M36" s="58"/>
      <c r="N36" s="59">
        <f>SUM(N10,N23)</f>
        <v>3232</v>
      </c>
    </row>
    <row r="37" spans="1:14" ht="12.75">
      <c r="A37" s="36" t="s">
        <v>106</v>
      </c>
      <c r="B37" s="28"/>
      <c r="C37" s="28"/>
      <c r="D37" s="28"/>
      <c r="E37" s="28"/>
      <c r="F37" s="28"/>
      <c r="G37" s="56"/>
      <c r="H37" s="57">
        <f>SUM(H11)</f>
        <v>576</v>
      </c>
      <c r="I37" s="56"/>
      <c r="J37" s="57"/>
      <c r="K37" s="56"/>
      <c r="L37" s="57"/>
      <c r="M37" s="58"/>
      <c r="N37" s="59"/>
    </row>
    <row r="38" spans="1:14" ht="12.75">
      <c r="A38" s="36" t="s">
        <v>99</v>
      </c>
      <c r="B38" s="28"/>
      <c r="C38" s="28"/>
      <c r="D38" s="28"/>
      <c r="E38" s="28"/>
      <c r="F38" s="28"/>
      <c r="G38" s="56"/>
      <c r="H38" s="57"/>
      <c r="I38" s="56"/>
      <c r="J38" s="57"/>
      <c r="K38" s="56"/>
      <c r="L38" s="57"/>
      <c r="M38" s="58"/>
      <c r="N38" s="59"/>
    </row>
    <row r="39" spans="1:14" ht="12.75">
      <c r="A39" s="36" t="s">
        <v>109</v>
      </c>
      <c r="B39" s="28"/>
      <c r="C39" s="28"/>
      <c r="D39" s="28"/>
      <c r="E39" s="28"/>
      <c r="F39" s="28"/>
      <c r="G39" s="56"/>
      <c r="H39" s="57">
        <f>SUM(H13,H26)</f>
        <v>1056</v>
      </c>
      <c r="I39" s="56"/>
      <c r="J39" s="57">
        <f>SUM(J13,J26)</f>
        <v>1056</v>
      </c>
      <c r="K39" s="56"/>
      <c r="L39" s="57">
        <f>SUM(L13,L26)</f>
        <v>1056</v>
      </c>
      <c r="M39" s="58"/>
      <c r="N39" s="59">
        <f>SUM(N13,N26)</f>
        <v>3168</v>
      </c>
    </row>
    <row r="40" spans="1:14" ht="12.75">
      <c r="A40" s="36" t="s">
        <v>100</v>
      </c>
      <c r="B40" s="28"/>
      <c r="C40" s="28"/>
      <c r="D40" s="28"/>
      <c r="E40" s="28"/>
      <c r="F40" s="28"/>
      <c r="G40" s="56"/>
      <c r="H40" s="57">
        <f>SUM(H14,H27)</f>
        <v>21927.317333333332</v>
      </c>
      <c r="I40" s="56"/>
      <c r="J40" s="57"/>
      <c r="K40" s="56"/>
      <c r="L40" s="57">
        <f>SUM(L14,L27)</f>
        <v>475.2014222222222</v>
      </c>
      <c r="M40" s="58"/>
      <c r="N40" s="59">
        <f>SUM(N14,N27)</f>
        <v>23616.12882962963</v>
      </c>
    </row>
    <row r="41" spans="1:14" ht="13.5" thickBot="1">
      <c r="A41" s="39" t="s">
        <v>107</v>
      </c>
      <c r="B41" s="37"/>
      <c r="C41" s="37"/>
      <c r="D41" s="37"/>
      <c r="E41" s="37"/>
      <c r="F41" s="38"/>
      <c r="G41" s="72"/>
      <c r="H41" s="73">
        <f>SUM(H15,H28)</f>
        <v>194685.53955555556</v>
      </c>
      <c r="I41" s="72"/>
      <c r="J41" s="73">
        <f>SUM(J15,J28)</f>
        <v>10557.195259259259</v>
      </c>
      <c r="K41" s="72"/>
      <c r="L41" s="73">
        <f>SUM(L15,L28)</f>
        <v>12363.316977777778</v>
      </c>
      <c r="M41" s="74"/>
      <c r="N41" s="75">
        <f>SUM(N15,N28)</f>
        <v>217606.05179259257</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26"/>
  <sheetViews>
    <sheetView workbookViewId="0" topLeftCell="A1">
      <selection activeCell="C57" sqref="C57:D57"/>
    </sheetView>
  </sheetViews>
  <sheetFormatPr defaultColWidth="9.140625" defaultRowHeight="12.75"/>
  <sheetData>
    <row r="1" spans="1:17" ht="15">
      <c r="A1" s="155" t="s">
        <v>212</v>
      </c>
      <c r="B1" s="155"/>
      <c r="C1" s="155"/>
      <c r="D1" s="155"/>
      <c r="E1" s="155"/>
      <c r="F1" s="155"/>
      <c r="G1" s="155"/>
      <c r="H1" s="155"/>
      <c r="I1" s="155"/>
      <c r="J1" s="155"/>
      <c r="K1" s="155"/>
      <c r="L1" s="155"/>
      <c r="M1" s="155"/>
      <c r="N1" s="155"/>
      <c r="O1" s="155"/>
      <c r="P1" s="155"/>
      <c r="Q1" s="155"/>
    </row>
    <row r="2" spans="1:17" ht="15">
      <c r="A2" s="155" t="s">
        <v>213</v>
      </c>
      <c r="B2" s="155"/>
      <c r="C2" s="155"/>
      <c r="D2" s="155"/>
      <c r="E2" s="155"/>
      <c r="F2" s="155"/>
      <c r="G2" s="155"/>
      <c r="H2" s="155"/>
      <c r="I2" s="155"/>
      <c r="J2" s="155"/>
      <c r="K2" s="155"/>
      <c r="L2" s="155"/>
      <c r="M2" s="155"/>
      <c r="N2" s="155"/>
      <c r="O2" s="155"/>
      <c r="P2" s="155"/>
      <c r="Q2" s="155"/>
    </row>
    <row r="3" spans="1:17" ht="15">
      <c r="A3" s="155" t="s">
        <v>224</v>
      </c>
      <c r="B3" s="155"/>
      <c r="C3" s="155"/>
      <c r="D3" s="155"/>
      <c r="E3" s="155"/>
      <c r="F3" s="155"/>
      <c r="G3" s="155"/>
      <c r="H3" s="155"/>
      <c r="I3" s="155"/>
      <c r="J3" s="155"/>
      <c r="K3" s="155"/>
      <c r="L3" s="155"/>
      <c r="M3" s="155"/>
      <c r="N3" s="155"/>
      <c r="O3" s="155"/>
      <c r="P3" s="155"/>
      <c r="Q3" s="155"/>
    </row>
    <row r="4" spans="1:17" ht="15">
      <c r="A4" s="155" t="s">
        <v>214</v>
      </c>
      <c r="B4" s="155"/>
      <c r="C4" s="155"/>
      <c r="D4" s="155"/>
      <c r="E4" s="155"/>
      <c r="F4" s="155"/>
      <c r="G4" s="155"/>
      <c r="H4" s="155"/>
      <c r="I4" s="155"/>
      <c r="J4" s="155"/>
      <c r="K4" s="155"/>
      <c r="L4" s="155"/>
      <c r="M4" s="155"/>
      <c r="N4" s="155"/>
      <c r="O4" s="155"/>
      <c r="P4" s="155"/>
      <c r="Q4" s="155"/>
    </row>
    <row r="5" spans="1:17" ht="15">
      <c r="A5" s="155" t="s">
        <v>225</v>
      </c>
      <c r="B5" s="155"/>
      <c r="C5" s="155"/>
      <c r="D5" s="155"/>
      <c r="E5" s="155"/>
      <c r="F5" s="155"/>
      <c r="G5" s="155"/>
      <c r="H5" s="155"/>
      <c r="I5" s="155"/>
      <c r="J5" s="155"/>
      <c r="K5" s="155"/>
      <c r="L5" s="155"/>
      <c r="M5" s="155"/>
      <c r="N5" s="155"/>
      <c r="O5" s="155"/>
      <c r="P5" s="155"/>
      <c r="Q5" s="155"/>
    </row>
    <row r="6" spans="1:17" ht="15">
      <c r="A6" s="156"/>
      <c r="B6" s="156"/>
      <c r="C6" s="156"/>
      <c r="D6" s="156"/>
      <c r="E6" s="156"/>
      <c r="F6" s="156"/>
      <c r="G6" s="156"/>
      <c r="H6" s="156"/>
      <c r="I6" s="156"/>
      <c r="J6" s="156"/>
      <c r="K6" s="156"/>
      <c r="L6" s="156"/>
      <c r="M6" s="156"/>
      <c r="N6" s="156"/>
      <c r="O6" s="156"/>
      <c r="P6" s="156"/>
      <c r="Q6" s="156"/>
    </row>
    <row r="7" spans="1:12" ht="15">
      <c r="A7" s="157" t="s">
        <v>215</v>
      </c>
      <c r="B7" s="156"/>
      <c r="C7" s="156"/>
      <c r="D7" s="156"/>
      <c r="E7" s="156"/>
      <c r="F7" s="156"/>
      <c r="G7" s="156"/>
      <c r="H7" s="156"/>
      <c r="I7" s="156"/>
      <c r="J7" s="156"/>
      <c r="K7" s="156"/>
      <c r="L7" s="156"/>
    </row>
    <row r="8" ht="13.5" thickBot="1"/>
    <row r="9" spans="1:6" ht="14.25" thickBot="1" thickTop="1">
      <c r="A9" s="158" t="s">
        <v>216</v>
      </c>
      <c r="B9" s="159"/>
      <c r="C9" s="158" t="s">
        <v>217</v>
      </c>
      <c r="D9" s="158"/>
      <c r="E9" s="158"/>
      <c r="F9" s="83"/>
    </row>
    <row r="10" spans="1:6" ht="12.75">
      <c r="A10" s="160" t="s">
        <v>94</v>
      </c>
      <c r="B10" s="81"/>
      <c r="C10" s="31"/>
      <c r="D10" s="161">
        <v>200</v>
      </c>
      <c r="E10" s="31"/>
      <c r="F10" s="31"/>
    </row>
    <row r="11" spans="1:6" ht="12.75">
      <c r="A11" s="160" t="s">
        <v>95</v>
      </c>
      <c r="B11" s="81"/>
      <c r="C11" s="31"/>
      <c r="D11" s="161">
        <v>1000</v>
      </c>
      <c r="E11" s="31"/>
      <c r="F11" s="31"/>
    </row>
    <row r="12" spans="1:6" ht="13.5" thickBot="1">
      <c r="A12" s="162" t="s">
        <v>96</v>
      </c>
      <c r="B12" s="163"/>
      <c r="C12" s="164"/>
      <c r="D12" s="165">
        <v>60000</v>
      </c>
      <c r="E12" s="164"/>
      <c r="F12" s="31"/>
    </row>
    <row r="13" ht="13.5" thickTop="1"/>
    <row r="14" spans="13:17" ht="15">
      <c r="M14" s="156"/>
      <c r="N14" s="156"/>
      <c r="O14" s="156"/>
      <c r="P14" s="156"/>
      <c r="Q14" s="156"/>
    </row>
    <row r="15" spans="1:12" ht="15">
      <c r="A15" s="157" t="s">
        <v>218</v>
      </c>
      <c r="B15" s="156"/>
      <c r="C15" s="156"/>
      <c r="D15" s="156"/>
      <c r="E15" s="156"/>
      <c r="F15" s="156"/>
      <c r="G15" s="156"/>
      <c r="H15" s="156"/>
      <c r="I15" s="156"/>
      <c r="J15" s="156"/>
      <c r="K15" s="156"/>
      <c r="L15" s="156"/>
    </row>
    <row r="16" ht="13.5" thickBot="1"/>
    <row r="17" spans="1:9" ht="13.5" thickTop="1">
      <c r="A17" s="166"/>
      <c r="B17" s="166"/>
      <c r="C17" s="167"/>
      <c r="D17" s="168"/>
      <c r="E17" s="169" t="s">
        <v>39</v>
      </c>
      <c r="F17" s="170"/>
      <c r="G17" s="171"/>
      <c r="H17" s="169" t="s">
        <v>40</v>
      </c>
      <c r="I17" s="169"/>
    </row>
    <row r="18" spans="1:9" ht="13.5" thickBot="1">
      <c r="A18" s="172"/>
      <c r="B18" s="172"/>
      <c r="C18" s="173"/>
      <c r="D18" s="174" t="s">
        <v>94</v>
      </c>
      <c r="E18" s="175" t="s">
        <v>95</v>
      </c>
      <c r="F18" s="176" t="s">
        <v>96</v>
      </c>
      <c r="G18" s="177" t="s">
        <v>94</v>
      </c>
      <c r="H18" s="175" t="s">
        <v>95</v>
      </c>
      <c r="I18" s="177" t="s">
        <v>96</v>
      </c>
    </row>
    <row r="19" spans="1:12" ht="15.75" thickBot="1">
      <c r="A19" s="178" t="s">
        <v>219</v>
      </c>
      <c r="B19" s="178"/>
      <c r="C19" s="179"/>
      <c r="D19" s="180">
        <f>'Major Factors &amp; Volume Summary'!G38/SUM('Major Factors &amp; Volume Summary'!G24,'Major Factors &amp; Volume Summary'!G26,'Major Factors &amp; Volume Summary'!G27,'Major Factors &amp; Volume Summary'!G29,'Major Factors &amp; Volume Summary'!G30)</f>
        <v>2569.6</v>
      </c>
      <c r="E19" s="181">
        <f>AVERAGE(Flows!I6:I10)*8/NumOfPeripherals</f>
        <v>5722.311111111111</v>
      </c>
      <c r="F19" s="182">
        <f>SizeOfMsgClosedCallRecord*8</f>
        <v>2012.8</v>
      </c>
      <c r="G19" s="183">
        <f>'Major Factors &amp; Volume Summary'!G39/(SUM('Major Factors &amp; Volume Summary'!G23,'Major Factors &amp; Volume Summary'!G25,'Major Factors &amp; Volume Summary'!G28)+'Major Factors &amp; Volume Summary'!G17*SUM('Major Factors &amp; Volume Summary'!G34:G36))</f>
        <v>3144.551724137931</v>
      </c>
      <c r="H19" s="181">
        <v>528</v>
      </c>
      <c r="I19" s="183">
        <v>528</v>
      </c>
      <c r="J19" s="156"/>
      <c r="K19" s="156"/>
      <c r="L19" s="156"/>
    </row>
    <row r="20" ht="13.5" thickTop="1"/>
    <row r="21" spans="10:17" ht="15">
      <c r="J21" s="156"/>
      <c r="K21" s="156"/>
      <c r="L21" s="156"/>
      <c r="M21" s="156"/>
      <c r="N21" s="156"/>
      <c r="O21" s="156"/>
      <c r="P21" s="156"/>
      <c r="Q21" s="156"/>
    </row>
    <row r="22" spans="1:9" ht="15">
      <c r="A22" s="157" t="s">
        <v>220</v>
      </c>
      <c r="B22" s="156"/>
      <c r="C22" s="156"/>
      <c r="D22" s="156"/>
      <c r="E22" s="156"/>
      <c r="F22" s="156"/>
      <c r="G22" s="156"/>
      <c r="H22" s="156"/>
      <c r="I22" s="156"/>
    </row>
    <row r="23" ht="13.5" thickBot="1"/>
    <row r="24" spans="1:9" ht="13.5" thickTop="1">
      <c r="A24" s="166"/>
      <c r="B24" s="166"/>
      <c r="C24" s="167"/>
      <c r="D24" s="168"/>
      <c r="E24" s="169" t="s">
        <v>39</v>
      </c>
      <c r="F24" s="170"/>
      <c r="G24" s="168"/>
      <c r="H24" s="169" t="s">
        <v>40</v>
      </c>
      <c r="I24" s="169"/>
    </row>
    <row r="25" spans="1:9" ht="13.5" thickBot="1">
      <c r="A25" s="172"/>
      <c r="B25" s="172"/>
      <c r="C25" s="173"/>
      <c r="D25" s="174" t="s">
        <v>94</v>
      </c>
      <c r="E25" s="175" t="s">
        <v>95</v>
      </c>
      <c r="F25" s="176" t="s">
        <v>96</v>
      </c>
      <c r="G25" s="174" t="s">
        <v>94</v>
      </c>
      <c r="H25" s="175" t="s">
        <v>95</v>
      </c>
      <c r="I25" s="177" t="s">
        <v>96</v>
      </c>
    </row>
    <row r="26" spans="1:9" ht="13.5" thickBot="1">
      <c r="A26" s="178" t="s">
        <v>221</v>
      </c>
      <c r="B26" s="178"/>
      <c r="C26" s="179"/>
      <c r="D26" s="180">
        <f>1.5*(VolOfTrafficToCCHigh+D19/D10*1000)</f>
        <v>150729.44533333334</v>
      </c>
      <c r="E26" s="180">
        <f>1.5*(VolOfTrafficToCCMedium+E19/D11*1000)</f>
        <v>22585.77644444444</v>
      </c>
      <c r="F26" s="180">
        <f>1.5*(VolOfTrafficToCCLow+F19/D12*1000)</f>
        <v>17866.494933333335</v>
      </c>
      <c r="G26" s="180">
        <f>1.5*(VolOfTrafficFrCCHigh+G19/D10*1000)</f>
        <v>184155.00193103447</v>
      </c>
      <c r="H26" s="180">
        <f>1.5*(VolOfTrafficFrCCMedium+H19/D11*1000)</f>
        <v>2625.4831111111107</v>
      </c>
      <c r="I26" s="180">
        <f>1.5*(VolOfTrafficFrCCLow+I19/D12*1000)</f>
        <v>742.0005333333334</v>
      </c>
    </row>
    <row r="27"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Acadia,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Gang Ding</dc:creator>
  <cp:keywords/>
  <dc:description/>
  <cp:lastModifiedBy>Mohammed Darwish</cp:lastModifiedBy>
  <dcterms:created xsi:type="dcterms:W3CDTF">2002-04-17T15:21:12Z</dcterms:created>
  <dcterms:modified xsi:type="dcterms:W3CDTF">2002-12-13T01:01:36Z</dcterms:modified>
  <cp:category/>
  <cp:version/>
  <cp:contentType/>
  <cp:contentStatus/>
</cp:coreProperties>
</file>