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jeshwk\Desktop\Finesse 11.6\Review Docs\Bandwidth Calculator\"/>
    </mc:Choice>
  </mc:AlternateContent>
  <bookViews>
    <workbookView xWindow="0" yWindow="570" windowWidth="23250" windowHeight="13050" activeTab="2"/>
  </bookViews>
  <sheets>
    <sheet name="Instructions" sheetId="15" r:id="rId1"/>
    <sheet name="Finesse 11.6" sheetId="17" r:id="rId2"/>
    <sheet name="BW Data" sheetId="5" r:id="rId3"/>
  </sheets>
  <definedNames>
    <definedName name="Agent_Call_Wrap_Up_Time" localSheetId="1">'Finesse 11.6'!$B$21</definedName>
    <definedName name="Agent_Call_Wrap_Up_Time_v70" localSheetId="1">#REF!</definedName>
    <definedName name="Agent_Call_Wrap_Up_Time_v70">#REF!</definedName>
    <definedName name="Agent_Call_Wrap_Up_Time_v711" localSheetId="1">#REF!</definedName>
    <definedName name="Agent_Call_Wrap_Up_Time_v711">#REF!</definedName>
    <definedName name="Agent_Call_Wrap_Up_Time_v721" localSheetId="1">#REF!</definedName>
    <definedName name="Agent_Call_Wrap_Up_Time_v721">#REF!</definedName>
    <definedName name="Agent_Call_Wrap_Up_Time_v751" localSheetId="1">#REF!</definedName>
    <definedName name="Agent_Call_Wrap_Up_Time_v751">#REF!</definedName>
    <definedName name="Agent_Call_Wrap_Up_Time_v901" localSheetId="1">'Finesse 11.6'!$B$21</definedName>
    <definedName name="Agent_Call_Wrap_Up_Time_v901">#REF!</definedName>
    <definedName name="Agent_Statistics_Update_Interval_v5x" localSheetId="1">#REF!</definedName>
    <definedName name="Agent_Statistics_Update_Interval_v5x">#REF!</definedName>
    <definedName name="Agent_Statistics_Update_Interval_v60" localSheetId="1">#REF!</definedName>
    <definedName name="Agent_Statistics_Update_Interval_v60">#REF!</definedName>
    <definedName name="Agent_Statistics_Update_Interval_v70" localSheetId="1">#REF!</definedName>
    <definedName name="Agent_Statistics_Update_Interval_v70">#REF!</definedName>
    <definedName name="Agent_Statistics_Update_Interval_v711" localSheetId="1">#REF!</definedName>
    <definedName name="Agent_Statistics_Update_Interval_v711">#REF!</definedName>
    <definedName name="Agent_Statistics_Update_Interval_v721" localSheetId="1">#REF!</definedName>
    <definedName name="Agent_Statistics_Update_Interval_v721">#REF!</definedName>
    <definedName name="Agent_Statistics_Update_Interval_v751" localSheetId="1">#REF!</definedName>
    <definedName name="Agent_Statistics_Update_Interval_v751">#REF!</definedName>
    <definedName name="Agent_Statistics_Update_Interval_v801" localSheetId="1">'Finesse 11.6'!$B$55</definedName>
    <definedName name="Agent_Statistics_Update_Interval_v801">#REF!</definedName>
    <definedName name="Agent_Task_Wrap_Up_Time">'Finesse 11.6'!$B$26</definedName>
    <definedName name="Average_Call_Duration" localSheetId="1">'Finesse 11.6'!$B$22</definedName>
    <definedName name="Average_Call_Duration_v5x" localSheetId="1">#REF!</definedName>
    <definedName name="Average_Call_Duration_v5x">#REF!</definedName>
    <definedName name="Average_Call_Duration_v60" localSheetId="1">#REF!</definedName>
    <definedName name="Average_Call_Duration_v60">#REF!</definedName>
    <definedName name="Average_Call_Duration_v70" localSheetId="1">#REF!</definedName>
    <definedName name="Average_Call_Duration_v70">#REF!</definedName>
    <definedName name="Average_Call_Duration_v711" localSheetId="1">#REF!</definedName>
    <definedName name="Average_Call_Duration_v711">#REF!</definedName>
    <definedName name="Average_Call_Duration_v721" localSheetId="1">#REF!</definedName>
    <definedName name="Average_Call_Duration_v721">#REF!</definedName>
    <definedName name="Average_Call_Duration_v751" localSheetId="1">#REF!</definedName>
    <definedName name="Average_Call_Duration_v751">#REF!</definedName>
    <definedName name="Average_Call_Duration_v901" localSheetId="1">'Finesse 11.6'!$B$22</definedName>
    <definedName name="Average_Call_Duration_v901">#REF!</definedName>
    <definedName name="Average_number_of_Agent_Skill_Groups_Monitored_by_a_Supervisor_v5x" localSheetId="1">#REF!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#REF!</definedName>
    <definedName name="Average_number_of_Agent_Skill_Groups_Monitored_by_a_Supervisor_v901" localSheetId="1">'Finesse 11.6'!#REF!</definedName>
    <definedName name="Average_number_of_Agent_Skill_Groups_Monitored_by_a_Supervisor_v901">#REF!</definedName>
    <definedName name="Average_number_of_agents_per_Team" localSheetId="1">'Finesse 11.6'!$B$48</definedName>
    <definedName name="Average_number_of_agents_per_team_v901" localSheetId="1">'Finesse 11.6'!$B$48</definedName>
    <definedName name="Average_number_of_agents_per_team_v901">#REF!</definedName>
    <definedName name="Average_number_of_Skill_Groups_per_Agent_v5x" localSheetId="1">#REF!</definedName>
    <definedName name="Average_number_of_Skill_Groups_per_Agent_v5x">#REF!</definedName>
    <definedName name="Average_number_of_Skill_Groups_per_Agent_v60" localSheetId="1">#REF!</definedName>
    <definedName name="Average_number_of_Skill_Groups_per_Agent_v60">#REF!</definedName>
    <definedName name="Average_number_of_Skill_Groups_per_Agent_v70" localSheetId="1">#REF!</definedName>
    <definedName name="Average_number_of_Skill_Groups_per_Agent_v70">#REF!</definedName>
    <definedName name="Average_number_of_Skill_Groups_per_Agent_v711" localSheetId="1">#REF!</definedName>
    <definedName name="Average_number_of_Skill_Groups_per_Agent_v711">#REF!</definedName>
    <definedName name="Average_number_of_Skill_Groups_per_Agent_v721" localSheetId="1">#REF!</definedName>
    <definedName name="Average_number_of_Skill_Groups_per_Agent_v721">#REF!</definedName>
    <definedName name="Average_number_of_Skill_Groups_per_Agent_v751" localSheetId="1">#REF!</definedName>
    <definedName name="Average_number_of_Skill_Groups_per_Agent_v751">#REF!</definedName>
    <definedName name="Average_number_of_Skill_Groups_per_Agent_v901" localSheetId="1">'Finesse 11.6'!$B$47</definedName>
    <definedName name="Average_number_of_Skill_Groups_per_Agent_v901">#REF!</definedName>
    <definedName name="Average_number_of_Skill_Groups_per_Supervisor" localSheetId="1">'Finesse 11.6'!$B$49</definedName>
    <definedName name="Average_Task_Duration">'Finesse 11.6'!$B$27</definedName>
    <definedName name="Avg_Agent_State_Changes_Per_Call_NoWrap">'BW Data'!$B$51</definedName>
    <definedName name="Avg_Agent_State_Changes_Per_Call_NoWrap_v91">'BW Data'!$D$51</definedName>
    <definedName name="Avg_Agent_State_Changes_Per_Call_Wrap">'BW Data'!$B$52</definedName>
    <definedName name="Avg_Agent_State_Changes_Per_Call_Wrap_v91">'BW Data'!$D$52</definedName>
    <definedName name="Avg_Agent_State_Changes_Per_Task_NoWrap">'BW Data'!$E$53</definedName>
    <definedName name="Avg_agent_state_Changes_Per_Task_Wrap">'BW Data'!$E$54</definedName>
    <definedName name="Avg_Number_Dialog_Events_Per_ConfCall">'BW Data'!$B$57</definedName>
    <definedName name="Avg_Number_Dialog_Events_Per_IncomingCall">'BW Data'!$B$56</definedName>
    <definedName name="Avg_Number_Dialog_Events_Per_OutCall">'BW Data'!$B$58</definedName>
    <definedName name="Avg_Number_Dialog_Events_Per_XferCall">'BW Data'!$B$59</definedName>
    <definedName name="Bandwidth_Confidence_Factor">'BW Data'!$E$49</definedName>
    <definedName name="Bandwidth_Confidence_Factor_v5x" localSheetId="1">'BW Data'!#REF!</definedName>
    <definedName name="Bandwidth_Confidence_Factor_v5x">'BW Data'!#REF!</definedName>
    <definedName name="Bandwidth_Confidence_Factor_v60" localSheetId="1">'BW Data'!#REF!</definedName>
    <definedName name="Bandwidth_Confidence_Factor_v60">'BW Data'!#REF!</definedName>
    <definedName name="Bandwidth_Confidence_Factor_v70_Security_On" localSheetId="1">'BW Data'!#REF!</definedName>
    <definedName name="Bandwidth_Confidence_Factor_v70_Security_On">'BW Data'!#REF!</definedName>
    <definedName name="Bandwidth_Confidence_Factor_v711_Security_Off" localSheetId="1">'BW Data'!#REF!</definedName>
    <definedName name="Bandwidth_Confidence_Factor_v711_Security_Off">'BW Data'!#REF!</definedName>
    <definedName name="Bandwidth_Confidence_Factor_v711_Security_On" localSheetId="1">'BW Data'!#REF!</definedName>
    <definedName name="Bandwidth_Confidence_Factor_v711_Security_On">'BW Data'!#REF!</definedName>
    <definedName name="Bandwidth_Confidence_Factor_v721_Security_Off" localSheetId="1">'BW Data'!#REF!</definedName>
    <definedName name="Bandwidth_Confidence_Factor_v721_Security_Off">'BW Data'!#REF!</definedName>
    <definedName name="Bandwidth_Confidence_Factor_v721_Security_On" localSheetId="1">'BW Data'!#REF!</definedName>
    <definedName name="Bandwidth_Confidence_Factor_v721_Security_On">'BW Data'!#REF!</definedName>
    <definedName name="Bandwidth_Confidence_Factor_v751_Security_Off" localSheetId="1">'BW Data'!#REF!</definedName>
    <definedName name="Bandwidth_Confidence_Factor_v751_Security_Off">'BW Data'!#REF!</definedName>
    <definedName name="Bandwidth_Confidence_Factor_v751_Security_On" localSheetId="1">'BW Data'!#REF!</definedName>
    <definedName name="Bandwidth_Confidence_Factor_v751_Security_On">'BW Data'!#REF!</definedName>
    <definedName name="Bandwidth_Confidence_Factor_v9">'BW Data'!$B$49</definedName>
    <definedName name="Bandwidth_Confidence_Factor_v91">'BW Data'!$D$49</definedName>
    <definedName name="BHCA" localSheetId="1">'Finesse 11.6'!$B$20</definedName>
    <definedName name="BHCA_v5x" localSheetId="1">#REF!</definedName>
    <definedName name="BHCA_v5x">#REF!</definedName>
    <definedName name="BHCA_v60" localSheetId="1">#REF!</definedName>
    <definedName name="BHCA_v60">#REF!</definedName>
    <definedName name="BHCA_v70" localSheetId="1">#REF!</definedName>
    <definedName name="BHCA_v70">#REF!</definedName>
    <definedName name="BHCA_v711" localSheetId="1">#REF!</definedName>
    <definedName name="BHCA_v711">#REF!</definedName>
    <definedName name="BHCA_v721" localSheetId="1">#REF!</definedName>
    <definedName name="BHCA_v721">#REF!</definedName>
    <definedName name="BHCA_v751" localSheetId="1">#REF!</definedName>
    <definedName name="BHCA_v751">#REF!</definedName>
    <definedName name="BHCA_v901" localSheetId="1">'Finesse 11.6'!$B$20</definedName>
    <definedName name="BHCA_v901">#REF!</definedName>
    <definedName name="BHTA">'Finesse 11.6'!$B$25</definedName>
    <definedName name="Bytes_Per_Call_Variable_Value">'BW Data'!$D$61</definedName>
    <definedName name="Calls_Per_Second" localSheetId="1">'Finesse 11.6'!$B$23</definedName>
    <definedName name="Calls_Per_Second_v5x" localSheetId="1">#REF!</definedName>
    <definedName name="Calls_Per_Second_v5x">#REF!</definedName>
    <definedName name="Calls_Per_Second_v60" localSheetId="1">#REF!</definedName>
    <definedName name="Calls_Per_Second_v60">#REF!</definedName>
    <definedName name="Calls_Per_Second_v70" localSheetId="1">#REF!</definedName>
    <definedName name="Calls_Per_Second_v70">#REF!</definedName>
    <definedName name="Calls_Per_Second_v711" localSheetId="1">#REF!</definedName>
    <definedName name="Calls_Per_Second_v711">#REF!</definedName>
    <definedName name="Calls_Per_Second_v721" localSheetId="1">#REF!</definedName>
    <definedName name="Calls_Per_Second_v721">#REF!</definedName>
    <definedName name="Calls_Per_Second_v751" localSheetId="1">#REF!</definedName>
    <definedName name="Calls_Per_Second_v751">#REF!</definedName>
    <definedName name="Calls_Per_Second_v901" localSheetId="1">'Finesse 11.6'!$B$23</definedName>
    <definedName name="Calls_Per_Second_v901">#REF!</definedName>
    <definedName name="kbps">8/1000</definedName>
    <definedName name="Max_Login_Time_All_Agents" localSheetId="1">'Finesse 11.6'!$B$18</definedName>
    <definedName name="Max_Login_Time_All_Agents">#REF!</definedName>
    <definedName name="Max_Login_Time_All_Users" localSheetId="1">'Finesse 11.6'!$B$18</definedName>
    <definedName name="Max_Login_Time_All_Users">#REF!</definedName>
    <definedName name="Maximum_Login_Time_for_all_users" localSheetId="1">'Finesse 11.6'!$B$18</definedName>
    <definedName name="Number_of_Agent_Statistics_v5x" localSheetId="1">#REF!</definedName>
    <definedName name="Number_of_Agent_Statistics_v5x">#REF!</definedName>
    <definedName name="Number_of_Agent_Statistics_v60" localSheetId="1">#REF!</definedName>
    <definedName name="Number_of_Agent_Statistics_v60">#REF!</definedName>
    <definedName name="Number_of_Agent_Statistics_v70" localSheetId="1">#REF!</definedName>
    <definedName name="Number_of_Agent_Statistics_v70">#REF!</definedName>
    <definedName name="Number_of_Agent_Statistics_v711" localSheetId="1">#REF!</definedName>
    <definedName name="Number_of_Agent_Statistics_v711">#REF!</definedName>
    <definedName name="Number_of_Agent_Statistics_v721" localSheetId="1">#REF!</definedName>
    <definedName name="Number_of_Agent_Statistics_v721">#REF!</definedName>
    <definedName name="Number_of_Agent_Statistics_v751" localSheetId="1">#REF!</definedName>
    <definedName name="Number_of_Agent_Statistics_v751">#REF!</definedName>
    <definedName name="Number_of_Agent_Statistics_v801" localSheetId="1">'Finesse 11.6'!$B$54</definedName>
    <definedName name="Number_of_Agent_Statistics_v801">#REF!</definedName>
    <definedName name="Number_of_Agents" localSheetId="1">'Finesse 11.6'!$B$9</definedName>
    <definedName name="Number_of_All_Agents_Monitors_v5x" localSheetId="1">#REF!</definedName>
    <definedName name="Number_of_All_Agents_Monitors_v5x">#REF!</definedName>
    <definedName name="Number_of_All_Agents_Monitors_v60" localSheetId="1">#REF!</definedName>
    <definedName name="Number_of_All_Agents_Monitors_v60">#REF!</definedName>
    <definedName name="Number_of_All_Agents_Monitors_v70" localSheetId="1">#REF!</definedName>
    <definedName name="Number_of_All_Agents_Monitors_v70">#REF!</definedName>
    <definedName name="Number_of_All_Agents_Monitors_v711" localSheetId="1">#REF!</definedName>
    <definedName name="Number_of_All_Agents_Monitors_v711">#REF!</definedName>
    <definedName name="Number_of_All_Agents_Monitors_v721" localSheetId="1">#REF!</definedName>
    <definedName name="Number_of_All_Agents_Monitors_v721">#REF!</definedName>
    <definedName name="Number_of_All_Agents_Monitors_v751" localSheetId="1">#REF!</definedName>
    <definedName name="Number_of_All_Agents_Monitors_v751">#REF!</definedName>
    <definedName name="Number_of_All_Agents_Monitors_v801" localSheetId="1">'Finesse 11.6'!$B$11</definedName>
    <definedName name="Number_of_All_Agents_Monitors_v801">#REF!</definedName>
    <definedName name="Number_of_Call_Variables">'BW Data'!$B$60</definedName>
    <definedName name="Number_of_Call_Variables_v5x" localSheetId="1">#REF!</definedName>
    <definedName name="Number_of_Call_Variables_v5x">#REF!</definedName>
    <definedName name="Number_of_Call_Variables_v60" localSheetId="1">#REF!</definedName>
    <definedName name="Number_of_Call_Variables_v60">#REF!</definedName>
    <definedName name="Number_of_Call_Variables_v70" localSheetId="1">#REF!</definedName>
    <definedName name="Number_of_Call_Variables_v70">#REF!</definedName>
    <definedName name="Number_of_Call_Variables_v711" localSheetId="1">#REF!</definedName>
    <definedName name="Number_of_Call_Variables_v711">#REF!</definedName>
    <definedName name="Number_of_Call_Variables_v721" localSheetId="1">#REF!</definedName>
    <definedName name="Number_of_Call_Variables_v721">#REF!</definedName>
    <definedName name="Number_of_Call_Variables_v751" localSheetId="1">#REF!</definedName>
    <definedName name="Number_of_Call_Variables_v751">#REF!</definedName>
    <definedName name="Number_of_Call_Variables_v901" localSheetId="1">'Finesse 11.6'!#REF!</definedName>
    <definedName name="Number_of_Call_Variables_v901">#REF!</definedName>
    <definedName name="Number_of_Call_Variables_v91">'BW Data'!$D$60</definedName>
    <definedName name="Number_of_Configured_Call_variables">'Finesse 11.6'!$B$62</definedName>
    <definedName name="Number_of_Configured_ECC_variables" localSheetId="1">'Finesse 11.6'!$B$58</definedName>
    <definedName name="Number_of_Configured_ECC_variables_v5x" localSheetId="1">#REF!</definedName>
    <definedName name="Number_of_Configured_ECC_variables_v5x">#REF!</definedName>
    <definedName name="Number_of_Configured_ECC_variables_v60" localSheetId="1">#REF!</definedName>
    <definedName name="Number_of_Configured_ECC_variables_v60">#REF!</definedName>
    <definedName name="Number_of_Configured_ECC_variables_v70" localSheetId="1">#REF!</definedName>
    <definedName name="Number_of_Configured_ECC_variables_v70">#REF!</definedName>
    <definedName name="Number_of_Configured_ECC_variables_v711" localSheetId="1">#REF!</definedName>
    <definedName name="Number_of_Configured_ECC_variables_v711">#REF!</definedName>
    <definedName name="Number_of_Configured_ECC_variables_v721" localSheetId="1">#REF!</definedName>
    <definedName name="Number_of_Configured_ECC_variables_v721">#REF!</definedName>
    <definedName name="Number_of_Configured_ECC_variables_v751" localSheetId="1">#REF!</definedName>
    <definedName name="Number_of_Configured_ECC_variables_v751">#REF!</definedName>
    <definedName name="Number_of_Configured_ECC_variables_v901" localSheetId="1">'Finesse 11.6'!$B$58</definedName>
    <definedName name="Number_of_Configured_ECC_variables_v901">#REF!</definedName>
    <definedName name="Number_of_mc_agents">'Finesse 11.6'!$B$16</definedName>
    <definedName name="Number_of_Multi_Channel_Agents">'Finesse 11.6'!$B$16</definedName>
    <definedName name="Number_of_Non_Voice_MRDs">'Finesse 11.6'!$B$17</definedName>
    <definedName name="Number_of_nonSSO_agents">'Finesse 11.6'!$B$13</definedName>
    <definedName name="Number_of_nonsso_mc_agents">'Finesse 11.6'!#REF!</definedName>
    <definedName name="Number_of_nonSSO_Multi_Channel_Agents">'Finesse 11.6'!#REF!</definedName>
    <definedName name="Number_of_nonSSO_supervisors">'Finesse 11.6'!$B$15</definedName>
    <definedName name="Number_of_nonvoice_mrds">'Finesse 11.6'!$B$17</definedName>
    <definedName name="Number_of_Skill_Group_Statistics_v5x" localSheetId="1">#REF!</definedName>
    <definedName name="Number_of_Skill_Group_Statistics_v5x">#REF!</definedName>
    <definedName name="Number_of_Skill_Group_Statistics_v60" localSheetId="1">#REF!</definedName>
    <definedName name="Number_of_Skill_Group_Statistics_v60">#REF!</definedName>
    <definedName name="Number_of_Skill_Group_Statistics_v70" localSheetId="1">#REF!</definedName>
    <definedName name="Number_of_Skill_Group_Statistics_v70">#REF!</definedName>
    <definedName name="Number_of_Skill_Group_Statistics_v711" localSheetId="1">#REF!</definedName>
    <definedName name="Number_of_Skill_Group_Statistics_v711">#REF!</definedName>
    <definedName name="Number_of_Skill_Group_Statistics_v721" localSheetId="1">#REF!</definedName>
    <definedName name="Number_of_Skill_Group_Statistics_v721">#REF!</definedName>
    <definedName name="Number_of_Skill_Group_Statistics_v751" localSheetId="1">#REF!</definedName>
    <definedName name="Number_of_Skill_Group_Statistics_v751">#REF!</definedName>
    <definedName name="Number_of_Skill_Group_Statistics_v801" localSheetId="1">'Finesse 11.6'!$B$51</definedName>
    <definedName name="Number_of_Skill_Group_Statistics_v801">#REF!</definedName>
    <definedName name="Number_of_Skill_Groups_per_Agent_v5x" localSheetId="1">#REF!</definedName>
    <definedName name="Number_of_Skill_Groups_per_Agent_v5x">#REF!</definedName>
    <definedName name="Number_of_Skill_Groups_per_Agent_v60" localSheetId="1">#REF!</definedName>
    <definedName name="Number_of_Skill_Groups_per_Agent_v60">#REF!</definedName>
    <definedName name="Number_of_Skill_Groups_per_Agent_v70" localSheetId="1">#REF!</definedName>
    <definedName name="Number_of_Skill_Groups_per_Agent_v70">#REF!</definedName>
    <definedName name="Number_of_Skill_Groups_per_Agent_v711" localSheetId="1">#REF!</definedName>
    <definedName name="Number_of_Skill_Groups_per_Agent_v711">#REF!</definedName>
    <definedName name="Number_of_Skill_Groups_per_Agent_v721" localSheetId="1">#REF!</definedName>
    <definedName name="Number_of_Skill_Groups_per_Agent_v721">#REF!</definedName>
    <definedName name="Number_of_Skill_Groups_per_Agent_v751" localSheetId="1">#REF!</definedName>
    <definedName name="Number_of_Skill_Groups_per_Agent_v751">#REF!</definedName>
    <definedName name="Number_of_Skill_Groups_per_Agent_v801" localSheetId="1">'Finesse 11.6'!$B$47</definedName>
    <definedName name="Number_of_Skill_Groups_per_Agent_v801">#REF!</definedName>
    <definedName name="Number_of_Skill_Groups_per_Supervisor_v5x" localSheetId="1">#REF!</definedName>
    <definedName name="Number_of_Skill_Groups_per_Supervisor_v5x">#REF!</definedName>
    <definedName name="Number_of_Skill_Groups_per_Supervisor_v60" localSheetId="1">#REF!</definedName>
    <definedName name="Number_of_Skill_Groups_per_Supervisor_v60">#REF!</definedName>
    <definedName name="Number_of_Skill_Groups_per_Supervisor_v70" localSheetId="1">#REF!</definedName>
    <definedName name="Number_of_Skill_Groups_per_Supervisor_v70">#REF!</definedName>
    <definedName name="Number_of_Skill_Groups_per_Supervisor_v711" localSheetId="1">#REF!</definedName>
    <definedName name="Number_of_Skill_Groups_per_Supervisor_v711">#REF!</definedName>
    <definedName name="Number_of_Skill_Groups_per_Supervisor_v721" localSheetId="1">#REF!</definedName>
    <definedName name="Number_of_Skill_Groups_per_Supervisor_v721">#REF!</definedName>
    <definedName name="Number_of_Skill_Groups_per_Supervisor_v751" localSheetId="1">#REF!</definedName>
    <definedName name="Number_of_Skill_Groups_per_Supervisor_v751">#REF!</definedName>
    <definedName name="Number_of_Skill_Groups_per_Supervisor_v901" localSheetId="1">'Finesse 11.6'!$B$49</definedName>
    <definedName name="Number_of_Skill_Groups_per_Supervisor_v901">#REF!</definedName>
    <definedName name="Number_of_Skill_Groups_PG">'Finesse 11.6'!$B$56</definedName>
    <definedName name="Number_of_SSO_agents">'Finesse 11.6'!$B$12</definedName>
    <definedName name="Number_of_sso_mc_agents">'Finesse 11.6'!#REF!</definedName>
    <definedName name="Number_of_SSO_Multi_Channel_Agents">'Finesse 11.6'!#REF!</definedName>
    <definedName name="Number_of_SSO_supervisors">'Finesse 11.6'!$B$14</definedName>
    <definedName name="Number_of_Supervisors" localSheetId="1">'Finesse 11.6'!$B$10</definedName>
    <definedName name="Number_of_Supervisors_v10">'Finesse 11.6'!$B$10</definedName>
    <definedName name="Number_of_Supervisors_v5x" localSheetId="1">#REF!</definedName>
    <definedName name="Number_of_Supervisors_v5x">#REF!</definedName>
    <definedName name="Number_of_Supervisors_v60" localSheetId="1">#REF!</definedName>
    <definedName name="Number_of_Supervisors_v60">#REF!</definedName>
    <definedName name="Number_of_Supervisors_v70" localSheetId="1">#REF!</definedName>
    <definedName name="Number_of_Supervisors_v70">#REF!</definedName>
    <definedName name="Number_of_Supervisors_v711" localSheetId="1">#REF!</definedName>
    <definedName name="Number_of_Supervisors_v711">#REF!</definedName>
    <definedName name="Number_of_Supervisors_v721" localSheetId="1">#REF!</definedName>
    <definedName name="Number_of_Supervisors_v721">#REF!</definedName>
    <definedName name="Number_of_Supervisors_v751" localSheetId="1">#REF!</definedName>
    <definedName name="Number_of_Supervisors_v751">#REF!</definedName>
    <definedName name="Number_of_Supervisors_v901" localSheetId="1">'Finesse 11.6'!$B$10</definedName>
    <definedName name="Number_of_Supervisors_v901">#REF!</definedName>
    <definedName name="Percentage_Calls_Silently_Monitored" localSheetId="1">'Finesse 11.6'!$B$37</definedName>
    <definedName name="Percentage_Calls_Silently_Monitored">#REF!</definedName>
    <definedName name="Percentage_of_BargedCalls">'Finesse 11.6'!$B$38</definedName>
    <definedName name="Percentage_of_Calls_that_are_silently_monitored" localSheetId="1">'Finesse 11.6'!$B$37</definedName>
    <definedName name="Percentage_of_Consultative_Conference_Calls" localSheetId="1">'Finesse 11.6'!$B$35</definedName>
    <definedName name="Percentage_of_Consultative_Conference_Calls_v5x" localSheetId="1">#REF!</definedName>
    <definedName name="Percentage_of_Consultative_Conference_Calls_v5x">#REF!</definedName>
    <definedName name="Percentage_of_Consultative_Conference_Calls_v60" localSheetId="1">#REF!</definedName>
    <definedName name="Percentage_of_Consultative_Conference_Calls_v60">#REF!</definedName>
    <definedName name="Percentage_of_Consultative_Conference_Calls_v70" localSheetId="1">#REF!</definedName>
    <definedName name="Percentage_of_Consultative_Conference_Calls_v70">#REF!</definedName>
    <definedName name="Percentage_of_Consultative_Conference_Calls_v711" localSheetId="1">#REF!</definedName>
    <definedName name="Percentage_of_Consultative_Conference_Calls_v711">#REF!</definedName>
    <definedName name="Percentage_of_Consultative_Conference_Calls_v721" localSheetId="1">#REF!</definedName>
    <definedName name="Percentage_of_Consultative_Conference_Calls_v721">#REF!</definedName>
    <definedName name="Percentage_of_Consultative_Conference_Calls_v751" localSheetId="1">#REF!</definedName>
    <definedName name="Percentage_of_Consultative_Conference_Calls_v751">#REF!</definedName>
    <definedName name="Percentage_of_Consultative_Conference_Calls_v901" localSheetId="1">'Finesse 11.6'!$B$35</definedName>
    <definedName name="Percentage_of_Consultative_Conference_Calls_v901">#REF!</definedName>
    <definedName name="Percentage_of_Consultative_Transfer_Calls" localSheetId="1">'Finesse 11.6'!$B$33</definedName>
    <definedName name="Percentage_of_Consultative_Transfer_Calls_v5x" localSheetId="1">#REF!</definedName>
    <definedName name="Percentage_of_Consultative_Transfer_Calls_v5x">#REF!</definedName>
    <definedName name="Percentage_of_Consultative_Transfer_Calls_v60" localSheetId="1">#REF!</definedName>
    <definedName name="Percentage_of_Consultative_Transfer_Calls_v60">#REF!</definedName>
    <definedName name="Percentage_of_Consultative_Transfer_Calls_v70" localSheetId="1">#REF!</definedName>
    <definedName name="Percentage_of_Consultative_Transfer_Calls_v70">#REF!</definedName>
    <definedName name="Percentage_of_Consultative_Transfer_Calls_v711" localSheetId="1">#REF!</definedName>
    <definedName name="Percentage_of_Consultative_Transfer_Calls_v711">#REF!</definedName>
    <definedName name="Percentage_of_Consultative_Transfer_Calls_v721" localSheetId="1">#REF!</definedName>
    <definedName name="Percentage_of_Consultative_Transfer_Calls_v721">#REF!</definedName>
    <definedName name="Percentage_of_Consultative_Transfer_Calls_v751" localSheetId="1">#REF!</definedName>
    <definedName name="Percentage_of_Consultative_Transfer_Calls_v751">#REF!</definedName>
    <definedName name="Percentage_of_Consultative_Transfer_Calls_v901" localSheetId="1">'Finesse 11.6'!$B$33</definedName>
    <definedName name="Percentage_of_Consultative_Transfer_Calls_v901">#REF!</definedName>
    <definedName name="Percentage_of_Incoming_Straight_Calls" localSheetId="1">'Finesse 11.6'!$B$30</definedName>
    <definedName name="Percentage_of_Incoming_Straight_Calls_v5x" localSheetId="1">#REF!</definedName>
    <definedName name="Percentage_of_Incoming_Straight_Calls_v5x">#REF!</definedName>
    <definedName name="Percentage_of_Incoming_Straight_Calls_v60" localSheetId="1">#REF!</definedName>
    <definedName name="Percentage_of_Incoming_Straight_Calls_v60">#REF!</definedName>
    <definedName name="Percentage_of_Incoming_Straight_Calls_v70" localSheetId="1">#REF!</definedName>
    <definedName name="Percentage_of_Incoming_Straight_Calls_v70">#REF!</definedName>
    <definedName name="Percentage_of_Incoming_Straight_Calls_v711" localSheetId="1">#REF!</definedName>
    <definedName name="Percentage_of_Incoming_Straight_Calls_v711">#REF!</definedName>
    <definedName name="Percentage_of_Incoming_Straight_Calls_v721" localSheetId="1">#REF!</definedName>
    <definedName name="Percentage_of_Incoming_Straight_Calls_v721">#REF!</definedName>
    <definedName name="Percentage_of_Incoming_Straight_Calls_v751" localSheetId="1">#REF!</definedName>
    <definedName name="Percentage_of_Incoming_Straight_Calls_v751">#REF!</definedName>
    <definedName name="Percentage_of_Incoming_Straight_Calls_v901" localSheetId="1">'Finesse 11.6'!$B$30</definedName>
    <definedName name="Percentage_of_Incoming_Straight_Calls_v901">#REF!</definedName>
    <definedName name="Percentage_of_Incoming_Straight_Tasks">'Finesse 11.6'!$B$41</definedName>
    <definedName name="Percentage_of_InterceptedCalls">'Finesse 11.6'!$B$39</definedName>
    <definedName name="Percentage_of_Interrupted_Tasks">'Finesse 11.6'!$B$43</definedName>
    <definedName name="Percentage_of_Outgoing_Straight_Calls" localSheetId="1">'Finesse 11.6'!$B$31</definedName>
    <definedName name="Percentage_of_Outgoing_Straight_Calls_v5x" localSheetId="1">#REF!</definedName>
    <definedName name="Percentage_of_Outgoing_Straight_Calls_v5x">#REF!</definedName>
    <definedName name="Percentage_of_Outgoing_Straight_Calls_v60" localSheetId="1">#REF!</definedName>
    <definedName name="Percentage_of_Outgoing_Straight_Calls_v60">#REF!</definedName>
    <definedName name="Percentage_of_Outgoing_Straight_Calls_v70" localSheetId="1">#REF!</definedName>
    <definedName name="Percentage_of_Outgoing_Straight_Calls_v70">#REF!</definedName>
    <definedName name="Percentage_of_Outgoing_Straight_Calls_v711" localSheetId="1">#REF!</definedName>
    <definedName name="Percentage_of_Outgoing_Straight_Calls_v711">#REF!</definedName>
    <definedName name="Percentage_of_Outgoing_Straight_Calls_v721" localSheetId="1">#REF!</definedName>
    <definedName name="Percentage_of_Outgoing_Straight_Calls_v721">#REF!</definedName>
    <definedName name="Percentage_of_Outgoing_Straight_Calls_v751" localSheetId="1">#REF!</definedName>
    <definedName name="Percentage_of_Outgoing_Straight_Calls_v751">#REF!</definedName>
    <definedName name="Percentage_of_Outgoing_Straight_Calls_v901" localSheetId="1">'Finesse 11.6'!$B$31</definedName>
    <definedName name="Percentage_of_Outgoing_Straight_Calls_v901">#REF!</definedName>
    <definedName name="Percentage_of_Paused_and_Resumed_Tasks">'Finesse 11.6'!$B$44</definedName>
    <definedName name="Percentage_of_Single_Step_Transfer_Calls_v5x" localSheetId="1">#REF!</definedName>
    <definedName name="Percentage_of_Single_Step_Transfer_Calls_v5x">#REF!</definedName>
    <definedName name="Percentage_of_Single_Step_Transfer_Calls_v60" localSheetId="1">#REF!</definedName>
    <definedName name="Percentage_of_Single_Step_Transfer_Calls_v60">#REF!</definedName>
    <definedName name="Percentage_of_Single_Step_Transfer_Calls_v70" localSheetId="1">#REF!</definedName>
    <definedName name="Percentage_of_Single_Step_Transfer_Calls_v70">#REF!</definedName>
    <definedName name="Percentage_of_Single_Step_Transfer_Calls_v711" localSheetId="1">#REF!</definedName>
    <definedName name="Percentage_of_Single_Step_Transfer_Calls_v711">#REF!</definedName>
    <definedName name="Percentage_of_Single_Step_Transfer_Calls_v721" localSheetId="1">#REF!</definedName>
    <definedName name="Percentage_of_Single_Step_Transfer_Calls_v721">#REF!</definedName>
    <definedName name="Percentage_of_Single_Step_Transfer_Calls_v751" localSheetId="1">#REF!</definedName>
    <definedName name="Percentage_of_Single_Step_Transfer_Calls_v751">#REF!</definedName>
    <definedName name="Percentage_of_Single_Step_Transfer_Calls_v801" localSheetId="1">'Finesse 11.6'!$B$32</definedName>
    <definedName name="Percentage_of_Single_Step_Transfer_Calls_v801">#REF!</definedName>
    <definedName name="Percentage_of_SingleStep_Transfer_Calls">'Finesse 11.6'!$B$34</definedName>
    <definedName name="Percentage_of_Transferred_Tasks">'Finesse 11.6'!$B$42</definedName>
    <definedName name="Skill_Group_Refresh_Rate">'BW Data'!$B$55</definedName>
    <definedName name="Skill_Group_Refresh_Rate_v91">'BW Data'!$D$55</definedName>
    <definedName name="Skill_Group_Update_Interval_v5x" localSheetId="1">#REF!</definedName>
    <definedName name="Skill_Group_Update_Interval_v5x">#REF!</definedName>
    <definedName name="Skill_Group_Update_Interval_v60" localSheetId="1">#REF!</definedName>
    <definedName name="Skill_Group_Update_Interval_v60">#REF!</definedName>
    <definedName name="Skill_Group_Update_Interval_v70" localSheetId="1">#REF!</definedName>
    <definedName name="Skill_Group_Update_Interval_v70">#REF!</definedName>
    <definedName name="Skill_Group_Update_Interval_v711" localSheetId="1">#REF!</definedName>
    <definedName name="Skill_Group_Update_Interval_v711">#REF!</definedName>
    <definedName name="Skill_Group_Update_Interval_v721" localSheetId="1">#REF!</definedName>
    <definedName name="Skill_Group_Update_Interval_v721">#REF!</definedName>
    <definedName name="Skill_Group_Update_Interval_v751" localSheetId="1">#REF!</definedName>
    <definedName name="Skill_Group_Update_Interval_v751">#REF!</definedName>
    <definedName name="Skill_Group_Update_Interval_v801" localSheetId="1">'Finesse 11.6'!$B$52</definedName>
    <definedName name="Skill_Group_Update_Interval_v801">#REF!</definedName>
    <definedName name="Sum_of_all_Call_Variable_Values" localSheetId="1">'Finesse 11.6'!$B$63</definedName>
    <definedName name="Sum_of_all_Call_Variable_Values_v5x" localSheetId="1">#REF!</definedName>
    <definedName name="Sum_of_all_Call_Variable_Values_v5x">#REF!</definedName>
    <definedName name="Sum_of_all_Call_Variable_Values_v60" localSheetId="1">#REF!</definedName>
    <definedName name="Sum_of_all_Call_Variable_Values_v60">#REF!</definedName>
    <definedName name="Sum_of_all_Call_Variable_Values_v70" localSheetId="1">#REF!</definedName>
    <definedName name="Sum_of_all_Call_Variable_Values_v70">#REF!</definedName>
    <definedName name="Sum_of_all_Call_Variable_Values_v711" localSheetId="1">#REF!</definedName>
    <definedName name="Sum_of_all_Call_Variable_Values_v711">#REF!</definedName>
    <definedName name="Sum_of_all_Call_Variable_Values_v721" localSheetId="1">#REF!</definedName>
    <definedName name="Sum_of_all_Call_Variable_Values_v721">#REF!</definedName>
    <definedName name="Sum_of_all_Call_Variable_Values_v751" localSheetId="1">#REF!</definedName>
    <definedName name="Sum_of_all_Call_Variable_Values_v751">#REF!</definedName>
    <definedName name="Sum_of_all_Call_Variable_Values_v901" localSheetId="1">'Finesse 11.6'!$B$63</definedName>
    <definedName name="Sum_of_all_Call_Variable_Values_v901">#REF!</definedName>
    <definedName name="Sum_of_all_ECC_Variable_Names" localSheetId="1">'Finesse 11.6'!$B$59</definedName>
    <definedName name="Sum_of_all_ECC_Variable_Names_v5x" localSheetId="1">#REF!</definedName>
    <definedName name="Sum_of_all_ECC_Variable_Names_v5x">#REF!</definedName>
    <definedName name="Sum_of_all_ECC_Variable_Names_v60" localSheetId="1">#REF!</definedName>
    <definedName name="Sum_of_all_ECC_Variable_Names_v60">#REF!</definedName>
    <definedName name="Sum_of_all_ECC_Variable_Names_v70" localSheetId="1">#REF!</definedName>
    <definedName name="Sum_of_all_ECC_Variable_Names_v70">#REF!</definedName>
    <definedName name="Sum_of_all_ECC_Variable_Names_v711" localSheetId="1">#REF!</definedName>
    <definedName name="Sum_of_all_ECC_Variable_Names_v711">#REF!</definedName>
    <definedName name="Sum_of_all_ECC_Variable_Names_v721" localSheetId="1">#REF!</definedName>
    <definedName name="Sum_of_all_ECC_Variable_Names_v721">#REF!</definedName>
    <definedName name="Sum_of_all_ECC_Variable_Names_v751" localSheetId="1">#REF!</definedName>
    <definedName name="Sum_of_all_ECC_Variable_Names_v751">#REF!</definedName>
    <definedName name="Sum_of_all_ECC_Variable_Names_v901" localSheetId="1">'Finesse 11.6'!$B$59</definedName>
    <definedName name="Sum_of_all_ECC_Variable_Names_v901">#REF!</definedName>
    <definedName name="Sum_of_all_ECC_Variable_Values" localSheetId="1">'Finesse 11.6'!$B$60</definedName>
    <definedName name="Sum_of_all_ECC_Variable_Values_v5x" localSheetId="1">#REF!</definedName>
    <definedName name="Sum_of_all_ECC_Variable_Values_v5x">#REF!</definedName>
    <definedName name="Sum_of_all_ECC_Variable_Values_v60" localSheetId="1">#REF!</definedName>
    <definedName name="Sum_of_all_ECC_Variable_Values_v60">#REF!</definedName>
    <definedName name="Sum_of_all_ECC_Variable_Values_v70" localSheetId="1">#REF!</definedName>
    <definedName name="Sum_of_all_ECC_Variable_Values_v70">#REF!</definedName>
    <definedName name="Sum_of_all_ECC_Variable_Values_v711" localSheetId="1">#REF!</definedName>
    <definedName name="Sum_of_all_ECC_Variable_Values_v711">#REF!</definedName>
    <definedName name="Sum_of_all_ECC_Variable_Values_v721" localSheetId="1">#REF!</definedName>
    <definedName name="Sum_of_all_ECC_Variable_Values_v721">#REF!</definedName>
    <definedName name="Sum_of_all_ECC_Variable_Values_v751" localSheetId="1">#REF!</definedName>
    <definedName name="Sum_of_all_ECC_Variable_Values_v751">#REF!</definedName>
    <definedName name="Sum_of_all_ECC_Variable_Values_v901" localSheetId="1">'Finesse 11.6'!$B$60</definedName>
    <definedName name="Sum_of_all_ECC_Variable_Values_v901">#REF!</definedName>
    <definedName name="Tasks_Per_Second">'Finesse 11.6'!$B$28</definedName>
    <definedName name="Total" localSheetId="1">'Finesse 11.6'!$B$36</definedName>
  </definedNames>
  <calcPr calcId="152511"/>
</workbook>
</file>

<file path=xl/calcChain.xml><?xml version="1.0" encoding="utf-8"?>
<calcChain xmlns="http://schemas.openxmlformats.org/spreadsheetml/2006/main">
  <c r="B81" i="17" l="1"/>
  <c r="B73" i="17"/>
  <c r="B75" i="17" s="1"/>
  <c r="B15" i="17"/>
  <c r="B69" i="17" s="1"/>
  <c r="B68" i="17"/>
  <c r="B13" i="17"/>
  <c r="B74" i="17" s="1"/>
  <c r="B76" i="17" s="1"/>
  <c r="B67" i="17"/>
  <c r="B22" i="17"/>
  <c r="B23" i="17"/>
  <c r="B124" i="17" s="1"/>
  <c r="B123" i="17"/>
  <c r="B125" i="17"/>
  <c r="B127" i="17"/>
  <c r="B129" i="17"/>
  <c r="B131" i="17"/>
  <c r="B133" i="17"/>
  <c r="B28" i="17"/>
  <c r="B135" i="17" s="1"/>
  <c r="B139" i="17"/>
  <c r="B87" i="17"/>
  <c r="B89" i="17"/>
  <c r="B90" i="17"/>
  <c r="B91" i="17"/>
  <c r="B92" i="17"/>
  <c r="B93" i="17"/>
  <c r="B94" i="17"/>
  <c r="B95" i="17"/>
  <c r="B96" i="17"/>
  <c r="B97" i="17"/>
  <c r="B98" i="17"/>
  <c r="B99" i="17"/>
  <c r="B101" i="17"/>
  <c r="B104" i="17"/>
  <c r="B82" i="17"/>
  <c r="B83" i="17"/>
  <c r="B84" i="17"/>
  <c r="B85" i="17"/>
  <c r="B45" i="17"/>
  <c r="B12" i="5"/>
  <c r="D11" i="5"/>
  <c r="B11" i="5"/>
  <c r="B10" i="5"/>
  <c r="D9" i="5"/>
  <c r="B9" i="5"/>
  <c r="B5" i="5"/>
  <c r="D5" i="5"/>
  <c r="B6" i="5"/>
  <c r="B7" i="5"/>
  <c r="D7" i="5"/>
  <c r="B8" i="5"/>
  <c r="B115" i="17"/>
  <c r="B114" i="17"/>
  <c r="B55" i="17"/>
  <c r="B118" i="17"/>
  <c r="B119" i="17"/>
  <c r="B117" i="17"/>
  <c r="B116" i="17"/>
  <c r="B100" i="17" l="1"/>
  <c r="B88" i="17"/>
  <c r="B137" i="17"/>
  <c r="B134" i="17"/>
  <c r="B130" i="17"/>
  <c r="B126" i="17"/>
  <c r="B121" i="17"/>
  <c r="B66" i="17"/>
  <c r="B70" i="17" s="1"/>
  <c r="B138" i="17"/>
  <c r="B103" i="17"/>
  <c r="B136" i="17"/>
  <c r="B71" i="17"/>
  <c r="B102" i="17"/>
  <c r="B132" i="17"/>
  <c r="B128" i="17"/>
  <c r="B106" i="17"/>
  <c r="B109" i="17" s="1"/>
  <c r="B105" i="17"/>
  <c r="B107" i="17" s="1"/>
  <c r="B141" i="17"/>
  <c r="B144" i="17" s="1"/>
  <c r="B140" i="17"/>
  <c r="B142" i="17" s="1"/>
  <c r="B143" i="17" l="1"/>
  <c r="B108" i="17"/>
  <c r="D139" i="17"/>
  <c r="D135" i="17"/>
  <c r="D101" i="17"/>
  <c r="D90" i="17"/>
  <c r="D84" i="17"/>
  <c r="D103" i="17"/>
  <c r="D138" i="17"/>
  <c r="D92" i="17"/>
  <c r="D81" i="17"/>
  <c r="D95" i="17"/>
  <c r="D94" i="17"/>
  <c r="D137" i="17"/>
  <c r="D91" i="17"/>
  <c r="D105" i="17"/>
  <c r="D83" i="17"/>
  <c r="D136" i="17"/>
  <c r="D102" i="17"/>
  <c r="D96" i="17"/>
  <c r="D88" i="17"/>
  <c r="D99" i="17"/>
  <c r="D85" i="17"/>
  <c r="D98" i="17"/>
  <c r="D97" i="17"/>
  <c r="D82" i="17"/>
  <c r="D89" i="17"/>
  <c r="D106" i="17"/>
  <c r="D104" i="17"/>
  <c r="D100" i="17"/>
  <c r="D87" i="17"/>
  <c r="D93" i="17"/>
  <c r="D118" i="17"/>
  <c r="D116" i="17"/>
  <c r="D117" i="17"/>
  <c r="D127" i="17"/>
  <c r="D123" i="17"/>
  <c r="D132" i="17"/>
  <c r="D128" i="17"/>
  <c r="D141" i="17"/>
  <c r="D130" i="17"/>
  <c r="D119" i="17"/>
  <c r="D115" i="17"/>
  <c r="D131" i="17"/>
  <c r="D129" i="17"/>
  <c r="D122" i="17"/>
  <c r="D133" i="17"/>
  <c r="D126" i="17"/>
  <c r="D125" i="17"/>
  <c r="D124" i="17"/>
  <c r="D134" i="17"/>
  <c r="D114" i="17"/>
  <c r="D121" i="17"/>
  <c r="D140" i="17"/>
  <c r="D142" i="17" l="1"/>
  <c r="D107" i="17"/>
</calcChain>
</file>

<file path=xl/sharedStrings.xml><?xml version="1.0" encoding="utf-8"?>
<sst xmlns="http://schemas.openxmlformats.org/spreadsheetml/2006/main" count="460" uniqueCount="229">
  <si>
    <t>Message Header + TCP Overhead</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</si>
  <si>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</si>
  <si>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</si>
  <si>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</si>
  <si>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</si>
  <si>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</si>
  <si>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</si>
  <si>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</si>
  <si>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</si>
  <si>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</si>
  <si>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Value</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</si>
  <si>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</si>
  <si>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</si>
  <si>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</si>
  <si>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</si>
  <si>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</si>
  <si>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</si>
  <si>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</si>
  <si>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</si>
  <si>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</si>
  <si>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</si>
  <si>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</si>
  <si>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</si>
  <si>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</si>
  <si>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</si>
  <si>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</si>
  <si>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</si>
  <si>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</si>
  <si>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</si>
  <si>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</si>
  <si>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</si>
  <si>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</si>
  <si>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</si>
  <si>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</si>
  <si>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</si>
  <si>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</si>
  <si>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</si>
  <si>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</si>
  <si>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</si>
  <si>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</si>
  <si>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</si>
  <si>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</si>
  <si>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</si>
  <si>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</si>
  <si>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</si>
  <si>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</si>
  <si>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</si>
  <si>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</si>
  <si>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</si>
  <si>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</si>
  <si>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Note: Only make changes to fields in yellow.</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</si>
  <si>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</si>
  <si>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</si>
  <si>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</si>
  <si>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</si>
  <si>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</si>
  <si>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</si>
  <si>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</si>
  <si>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</si>
  <si>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</si>
  <si>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</si>
  <si>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</si>
  <si>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</si>
  <si>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</si>
  <si>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</si>
  <si>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</si>
  <si>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</si>
  <si>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</si>
  <si>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</si>
  <si>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Average number of Skill Groups per Supervisor</t>
  </si>
  <si>
    <t>0 &lt;= "Sum of all Call Variable Values" &lt;= 400
Maximum length is 40 chars per variable</t>
  </si>
  <si>
    <t>2000 maximum</t>
  </si>
  <si>
    <t>(N/A for Finesse) Number of All Agents Monitors</t>
  </si>
  <si>
    <t>(N/A for Finesse) Percentage of Single Step Transfer Calls</t>
  </si>
  <si>
    <t>Finesse Bandwidth Calculator</t>
  </si>
  <si>
    <t>CCE Configuration Information</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</si>
  <si>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</si>
  <si>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</si>
  <si>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</si>
  <si>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</si>
  <si>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</si>
  <si>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</si>
  <si>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</si>
  <si>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(N/A for Finesse)  Single Step Transfer Bandwidth</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</si>
  <si>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</si>
  <si>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</si>
  <si>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</si>
  <si>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</si>
  <si>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</si>
  <si>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</si>
  <si>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</si>
  <si>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</si>
  <si>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</si>
  <si>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</si>
  <si>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</si>
  <si>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</si>
  <si>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</si>
  <si>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</si>
  <si>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</si>
  <si>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</si>
  <si>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</si>
  <si>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</si>
  <si>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</si>
  <si>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</si>
  <si>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</si>
  <si>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</si>
  <si>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</si>
  <si>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</si>
  <si>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</si>
  <si>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</si>
  <si>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</si>
  <si>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</si>
  <si>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</si>
  <si>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</si>
  <si>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</si>
  <si>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</si>
  <si>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</si>
  <si>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</si>
  <si>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</si>
  <si>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</si>
  <si>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minute(s)</t>
  </si>
  <si>
    <t>Maximum Login Time for all users</t>
  </si>
  <si>
    <t>1. Enter the appropriate values in the yellow boxes to characterize the Call Center to be evaluated.</t>
  </si>
  <si>
    <t>2. Do not modify any cells that are green or grey.</t>
  </si>
  <si>
    <t>3. Total Bandwidth, Agent Bandwidth and Supervisor Bandwidth requirements are calculated and presented at the bottom of the spreadsheet.</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</si>
  <si>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</si>
  <si>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2. The "BW Data" sheet should not be modified.  It contains the empirical data collected to model the bandwidth utilization.</t>
  </si>
  <si>
    <t>5. The bandwidth calculations in this spreadsheet are for control messaging between Finesse desktop and server, and do not include the RTP voice stream bandwidth, nor Silent Monitoring RTP stream bandwidth.</t>
  </si>
  <si>
    <t>Bytes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</si>
  <si>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</si>
  <si>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</si>
  <si>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</si>
  <si>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</si>
  <si>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</si>
  <si>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</si>
  <si>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</si>
  <si>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</si>
  <si>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Post-Login Client to Server  Bandwidth</t>
  </si>
  <si>
    <t>Finesse Server to CTI Server  Bandwidth</t>
  </si>
  <si>
    <t>Supervisor Login</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</si>
  <si>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</si>
  <si>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</si>
  <si>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</si>
  <si>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</si>
  <si>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</si>
  <si>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</si>
  <si>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</si>
  <si>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</si>
  <si>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</si>
  <si>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</si>
  <si>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</si>
  <si>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Number of configured skill groups on the PG</t>
  </si>
  <si>
    <t>Single Step Transfer Bandwidth</t>
  </si>
  <si>
    <t xml:space="preserve">3. The calculator is based on per Finesse server per site. If one Finesse Server has more than one remote site, then the calculator should be run once for each remote site to be evaluated. </t>
  </si>
  <si>
    <t xml:space="preserve">4. For distributed deployments (i.e. not all agents located at the same physical site), the Finesse Bandwidth Calculator should be run once for each site to calculate the bandwidth required between each site and it's respective Finesse server.  </t>
  </si>
  <si>
    <t>Context Service</t>
  </si>
  <si>
    <t>CS gadget authentication requests</t>
  </si>
  <si>
    <t xml:space="preserve">POD Update </t>
  </si>
  <si>
    <t>Agent Voice Login - No Caching - without SSO</t>
  </si>
  <si>
    <t>Agent Voice Login - Caching - without SSO</t>
  </si>
  <si>
    <t>Supervisor Voice Login - No Caching - without SSO</t>
  </si>
  <si>
    <t>Supervisor Voice Login - Caching - without SSO</t>
  </si>
  <si>
    <t>Agent Voice Login - No Caching - with SSO</t>
  </si>
  <si>
    <t>Agent Voice Login - Caching - with SSO</t>
  </si>
  <si>
    <t>Supervisor Voice Login - No Caching - with SSO</t>
  </si>
  <si>
    <t>Supervisor Voice Login - Caching - with SSO</t>
  </si>
  <si>
    <t>Task Scenarios</t>
  </si>
  <si>
    <t>Incoming Task - All Messages</t>
  </si>
  <si>
    <t>Pause Task - All Messages</t>
  </si>
  <si>
    <t>Resume Task - All Messages</t>
  </si>
  <si>
    <t>Avg_Agent_State_Changes_Per_Task_NoWrap</t>
  </si>
  <si>
    <t>Avg_Agent_State_Changes_Per_Task_Wrap</t>
  </si>
  <si>
    <t>Number of multi-channel agents</t>
  </si>
  <si>
    <t>Average number of non-voice MRDs per multi-channel agent</t>
  </si>
  <si>
    <t>Non-voice MRDs</t>
  </si>
  <si>
    <t>Task Profile</t>
  </si>
  <si>
    <t>Busy Hour Task Attempts</t>
  </si>
  <si>
    <t>tasks/hour</t>
  </si>
  <si>
    <t>Typically 5 tasks per hour per agent</t>
  </si>
  <si>
    <t>Agent Task Wrap-Up Time</t>
  </si>
  <si>
    <t>Average Task Duration</t>
  </si>
  <si>
    <t>Tasks Per Second</t>
  </si>
  <si>
    <t>Equal to ((Number of Agents) / (Average Task Duration))</t>
  </si>
  <si>
    <t>Task Distribution</t>
  </si>
  <si>
    <t>Percentage of Incoming Straight Tasks</t>
  </si>
  <si>
    <t>Percentage of Transferred Tasks</t>
  </si>
  <si>
    <t>85% Straight Tasks Typical, 10% Transferred Tasks</t>
  </si>
  <si>
    <t>Adjust Task Distribution to equal 100%</t>
  </si>
  <si>
    <t>Percentage of Paused and ResumedTasks</t>
  </si>
  <si>
    <t>Agent Voice Login Bandwidth - No Caching</t>
  </si>
  <si>
    <t>Agent Voice Login Bandwidth - Caching</t>
  </si>
  <si>
    <t>Supervisor Voice Login Bandwidth - No Caching</t>
  </si>
  <si>
    <t>Supervisor Voice Login Bandwidth - Caching</t>
  </si>
  <si>
    <t>Total Voice Bandwidth - No Caching</t>
  </si>
  <si>
    <t>Total Voice Bandwidth - Caching</t>
  </si>
  <si>
    <t>Agent Non-Voice Login Bandwidth - No Caching</t>
  </si>
  <si>
    <t>Agent Non-Voice Login Bandwidth - Caching</t>
  </si>
  <si>
    <t>Total Number of Agents</t>
  </si>
  <si>
    <t>Number of SSO enabled agents</t>
  </si>
  <si>
    <t>Number of SSO enabled supervisors</t>
  </si>
  <si>
    <t>Numner of non-SSO agents</t>
  </si>
  <si>
    <t>Number of non-SSO supervisors</t>
  </si>
  <si>
    <t>agents(s)</t>
  </si>
  <si>
    <t>Total Non-Voice Bandwidth - No Caching</t>
  </si>
  <si>
    <t>Total Non-Voice Bandwidth - Caching</t>
  </si>
  <si>
    <t>Client to Finesse Server Voice Login Bandwidth</t>
  </si>
  <si>
    <t>Client to Finesse Server Non-Voice Login Bandwidth</t>
  </si>
  <si>
    <t>Percentage of Interrupted Tasks</t>
  </si>
  <si>
    <t>Straight Task Bandwidth</t>
  </si>
  <si>
    <t>Single Step Task Transfer Bandwidth</t>
  </si>
  <si>
    <t>Interrupted Task Bandwidth</t>
  </si>
  <si>
    <t>Paused and Resumed Task Bandwidth</t>
  </si>
  <si>
    <t>Transfer Task - All Messages</t>
  </si>
  <si>
    <t>Interrupted Task - All Messages</t>
  </si>
  <si>
    <t>Task Wrap-Up Bandwidth</t>
  </si>
  <si>
    <t xml:space="preserve">Agent Non-voice (1 MRD) Login - No Caching </t>
  </si>
  <si>
    <t>Agent Non-voice (1 MRD) Login - Caching</t>
  </si>
  <si>
    <t>Supervisor Non-voice (1 MRD) Login - No Caching</t>
  </si>
  <si>
    <t>Supervisor Non-Voice (1 MRD) Login - Caching</t>
  </si>
  <si>
    <t>11.6
Client to Server</t>
  </si>
  <si>
    <t>11.6
Server to CTI</t>
  </si>
  <si>
    <t>Live data  Bandwidth Factor(Client-Finesse Server)</t>
  </si>
  <si>
    <t>Queue Stat Bandwidth Factor(Finesse Server-CTI)</t>
  </si>
  <si>
    <t>11.6 Finesse IPPA</t>
  </si>
  <si>
    <t>The total amount of time taken for all agents to log into the Finesse server including Finesse failover conditions.  If the deployment includes 2000 agents and this value is set to 5 minutes, all 2000 agents should be able to point their browser to Finesse and complete the login sequence within 5 minutes.</t>
  </si>
  <si>
    <t>Finesse Bandwidth Measurements 11.6(1)</t>
  </si>
  <si>
    <t>Release 11.6(1)</t>
  </si>
  <si>
    <t>Finesse 11.6(1)</t>
  </si>
  <si>
    <t>Includes Live Data Call History and State History Gadgets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</si>
</sst>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3"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s>
  <cellStyleXfs count="3">
    <xf numFmtId="0" fontId="0" fillId="0" borderId="0"/>
    <xf numFmtId="43" fontId="10" fillId="0" borderId="0" applyFont="0" applyFill="0" applyBorder="0" applyAlignment="0" applyProtection="0"/>
    <xf numFmtId="43" fontId="2" fillId="0" borderId="0" applyFont="0" applyFill="0" applyBorder="0" applyAlignment="0" applyProtection="0"/>
  </cellStyleXfs>
  <cellXfs count="276">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5" fillId="0" borderId="0" xfId="0" applyFont="1"/>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11" xfId="0" applyFill="1" applyBorder="1" applyAlignment="1">
      <alignment vertical="top"/>
    </xf>
    <xf numFmtId="0" fontId="0" fillId="2" borderId="14" xfId="0" applyFill="1" applyBorder="1" applyAlignment="1">
      <alignment vertical="top"/>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0" fillId="0" borderId="23" xfId="0" applyFill="1" applyBorder="1"/>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164"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4" borderId="27" xfId="0" applyFill="1" applyBorder="1" applyAlignment="1"/>
    <xf numFmtId="0" fontId="0" fillId="0" borderId="0" xfId="0" applyFill="1" applyBorder="1" applyAlignment="1"/>
    <xf numFmtId="0" fontId="0" fillId="4" borderId="2" xfId="0" applyFill="1" applyBorder="1" applyAlignment="1" applyProtection="1">
      <alignment horizontal="center" vertical="top"/>
      <protection locked="0"/>
    </xf>
    <xf numFmtId="0" fontId="4" fillId="3" borderId="28" xfId="0" applyFont="1" applyFill="1" applyBorder="1"/>
    <xf numFmtId="0" fontId="0" fillId="3" borderId="29" xfId="0" applyFill="1" applyBorder="1" applyAlignment="1">
      <alignment horizontal="center"/>
    </xf>
    <xf numFmtId="0" fontId="0" fillId="3" borderId="29" xfId="0" applyFill="1" applyBorder="1"/>
    <xf numFmtId="0" fontId="0" fillId="3" borderId="30" xfId="0" applyFill="1" applyBorder="1" applyAlignment="1">
      <alignment wrapText="1"/>
    </xf>
    <xf numFmtId="0" fontId="4" fillId="3" borderId="31" xfId="0" applyFont="1" applyFill="1" applyBorder="1"/>
    <xf numFmtId="0" fontId="0" fillId="3" borderId="32" xfId="0" applyFill="1" applyBorder="1" applyAlignment="1">
      <alignment horizontal="center"/>
    </xf>
    <xf numFmtId="0" fontId="0" fillId="3" borderId="32" xfId="0" applyFill="1" applyBorder="1"/>
    <xf numFmtId="0" fontId="0" fillId="3" borderId="33" xfId="0" applyFill="1" applyBorder="1" applyAlignment="1">
      <alignment wrapText="1"/>
    </xf>
    <xf numFmtId="0" fontId="0" fillId="4" borderId="14" xfId="0" applyFill="1" applyBorder="1" applyAlignment="1" applyProtection="1">
      <alignment horizontal="center" vertical="top"/>
      <protection locked="0"/>
    </xf>
    <xf numFmtId="0" fontId="0" fillId="4" borderId="1" xfId="0" applyFill="1" applyBorder="1" applyAlignment="1" applyProtection="1">
      <alignment horizontal="center" vertical="top"/>
      <protection locked="0"/>
    </xf>
    <xf numFmtId="0" fontId="2" fillId="4" borderId="14" xfId="0" applyFon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9" fontId="8" fillId="4" borderId="1" xfId="0" applyNumberFormat="1" applyFont="1" applyFill="1" applyBorder="1" applyAlignment="1" applyProtection="1">
      <alignment horizontal="center" vertical="top"/>
      <protection locked="0"/>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164" fontId="8" fillId="2" borderId="14" xfId="0" applyNumberFormat="1" applyFont="1" applyFill="1" applyBorder="1" applyAlignment="1">
      <alignment horizontal="center"/>
    </xf>
    <xf numFmtId="0" fontId="8" fillId="2" borderId="1" xfId="0" applyFont="1" applyFill="1" applyBorder="1"/>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4" borderId="16" xfId="0" applyFont="1" applyFill="1" applyBorder="1" applyAlignment="1" applyProtection="1">
      <alignment horizontal="center" vertical="top"/>
      <protection locked="0"/>
    </xf>
    <xf numFmtId="0" fontId="8" fillId="2" borderId="16" xfId="0" applyFont="1" applyFill="1" applyBorder="1" applyAlignment="1">
      <alignment vertical="top"/>
    </xf>
    <xf numFmtId="0" fontId="8" fillId="2" borderId="37" xfId="0" applyFont="1" applyFill="1" applyBorder="1" applyAlignment="1">
      <alignment vertical="top" wrapText="1"/>
    </xf>
    <xf numFmtId="0" fontId="12" fillId="2" borderId="1" xfId="0" applyFont="1" applyFill="1" applyBorder="1" applyAlignment="1">
      <alignment horizontal="left" vertical="top" indent="1"/>
    </xf>
    <xf numFmtId="0" fontId="12" fillId="4" borderId="1" xfId="0" applyFont="1" applyFill="1" applyBorder="1" applyAlignment="1" applyProtection="1">
      <alignment horizontal="center" vertical="top"/>
      <protection locked="0"/>
    </xf>
    <xf numFmtId="0" fontId="12" fillId="2" borderId="1" xfId="0" applyFont="1" applyFill="1" applyBorder="1" applyAlignment="1">
      <alignment vertical="top"/>
    </xf>
    <xf numFmtId="0" fontId="0" fillId="2" borderId="0" xfId="0" applyFill="1" applyBorder="1" applyAlignment="1">
      <alignment horizontal="left" vertical="top" indent="2"/>
    </xf>
    <xf numFmtId="0" fontId="0" fillId="4" borderId="0" xfId="0" applyFill="1" applyBorder="1" applyAlignment="1" applyProtection="1">
      <alignment horizontal="center" vertical="top"/>
      <protection locked="0"/>
    </xf>
    <xf numFmtId="0" fontId="2" fillId="2" borderId="0" xfId="0" applyFont="1" applyFill="1" applyBorder="1" applyAlignment="1">
      <alignment vertical="top"/>
    </xf>
    <xf numFmtId="0" fontId="0" fillId="2" borderId="0" xfId="0" applyFill="1" applyBorder="1" applyAlignment="1">
      <alignment vertical="top" wrapText="1"/>
    </xf>
    <xf numFmtId="165" fontId="0" fillId="2" borderId="1" xfId="1" applyNumberFormat="1" applyFont="1" applyFill="1" applyBorder="1" applyAlignment="1">
      <alignment horizontal="center"/>
    </xf>
    <xf numFmtId="43" fontId="0" fillId="0" borderId="0" xfId="0" applyNumberFormat="1"/>
    <xf numFmtId="165" fontId="4" fillId="3" borderId="5" xfId="1" applyNumberFormat="1" applyFont="1" applyFill="1" applyBorder="1" applyAlignment="1">
      <alignment horizontal="center"/>
    </xf>
    <xf numFmtId="0" fontId="1" fillId="3" borderId="24" xfId="0" applyFont="1" applyFill="1" applyBorder="1" applyAlignment="1"/>
    <xf numFmtId="0" fontId="1" fillId="3" borderId="47" xfId="0" applyFont="1" applyFill="1" applyBorder="1" applyAlignment="1">
      <alignment horizontal="center"/>
    </xf>
    <xf numFmtId="0" fontId="1" fillId="3" borderId="48"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9" xfId="0" applyFont="1" applyFill="1" applyBorder="1" applyAlignment="1"/>
    <xf numFmtId="0" fontId="1" fillId="3" borderId="46" xfId="0" applyFont="1" applyFill="1" applyBorder="1" applyAlignment="1">
      <alignment horizontal="center"/>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2" borderId="8" xfId="0" applyFill="1" applyBorder="1"/>
    <xf numFmtId="0" fontId="2" fillId="2" borderId="8" xfId="0" applyFont="1" applyFill="1" applyBorder="1"/>
    <xf numFmtId="0" fontId="2" fillId="2" borderId="9" xfId="0" applyFont="1" applyFill="1" applyBorder="1"/>
    <xf numFmtId="0" fontId="0" fillId="2" borderId="2"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51" xfId="0" applyFill="1" applyBorder="1" applyAlignment="1">
      <alignment horizontal="center"/>
    </xf>
    <xf numFmtId="0" fontId="1" fillId="3" borderId="0" xfId="0" applyFont="1" applyFill="1" applyBorder="1" applyAlignment="1">
      <alignment horizontal="left"/>
    </xf>
    <xf numFmtId="0" fontId="1" fillId="3" borderId="45" xfId="0" applyFont="1" applyFill="1" applyBorder="1" applyAlignment="1">
      <alignment horizontal="left"/>
    </xf>
    <xf numFmtId="0" fontId="0" fillId="2" borderId="0" xfId="0" applyFill="1" applyBorder="1" applyAlignment="1">
      <alignment horizontal="center"/>
    </xf>
    <xf numFmtId="0" fontId="1" fillId="3" borderId="45" xfId="0" applyFont="1" applyFill="1" applyBorder="1" applyAlignment="1">
      <alignment horizontal="center"/>
    </xf>
    <xf numFmtId="0" fontId="2" fillId="2" borderId="38" xfId="0" applyFont="1" applyFill="1" applyBorder="1" applyAlignment="1">
      <alignment horizontal="left" indent="1"/>
    </xf>
    <xf numFmtId="0" fontId="2" fillId="2" borderId="1" xfId="0" applyFont="1" applyFill="1" applyBorder="1" applyAlignment="1">
      <alignment horizontal="center"/>
    </xf>
    <xf numFmtId="0" fontId="2" fillId="2" borderId="51" xfId="0" applyFont="1" applyFill="1" applyBorder="1" applyAlignment="1">
      <alignment horizontal="center"/>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6" borderId="51" xfId="0" applyFill="1" applyBorder="1" applyAlignment="1">
      <alignment horizontal="center"/>
    </xf>
    <xf numFmtId="0" fontId="1" fillId="6" borderId="0" xfId="0" applyFont="1" applyFill="1" applyBorder="1" applyAlignment="1">
      <alignment horizontal="left"/>
    </xf>
    <xf numFmtId="0" fontId="1" fillId="6" borderId="45"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164"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5" fontId="2" fillId="2" borderId="51" xfId="1" applyNumberFormat="1" applyFont="1" applyFill="1" applyBorder="1" applyAlignment="1">
      <alignment horizontal="center"/>
    </xf>
    <xf numFmtId="165" fontId="0" fillId="2" borderId="51" xfId="1" applyNumberFormat="1" applyFont="1" applyFill="1" applyBorder="1" applyAlignment="1">
      <alignment horizontal="center"/>
    </xf>
    <xf numFmtId="0" fontId="6" fillId="0" borderId="0" xfId="0" applyFont="1" applyAlignment="1">
      <alignment horizontal="left" vertical="top" wrapText="1"/>
    </xf>
    <xf numFmtId="165" fontId="2" fillId="2" borderId="51" xfId="1" applyNumberFormat="1" applyFont="1" applyFill="1" applyBorder="1" applyAlignment="1">
      <alignment horizontal="right"/>
    </xf>
    <xf numFmtId="165" fontId="0" fillId="2" borderId="51" xfId="1" applyNumberFormat="1" applyFont="1" applyFill="1" applyBorder="1" applyAlignment="1">
      <alignment horizontal="right"/>
    </xf>
    <xf numFmtId="0" fontId="2" fillId="2" borderId="51" xfId="0" applyFont="1" applyFill="1" applyBorder="1" applyAlignment="1">
      <alignment horizontal="right"/>
    </xf>
    <xf numFmtId="0" fontId="2" fillId="2" borderId="1" xfId="0" applyFont="1" applyFill="1" applyBorder="1" applyAlignment="1">
      <alignment horizontal="right"/>
    </xf>
    <xf numFmtId="0" fontId="0" fillId="2" borderId="51"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 fillId="3" borderId="0" xfId="0" applyFont="1" applyFill="1" applyBorder="1" applyAlignment="1">
      <alignment horizontal="right"/>
    </xf>
    <xf numFmtId="0" fontId="1" fillId="3" borderId="45" xfId="0" applyFont="1" applyFill="1" applyBorder="1" applyAlignment="1">
      <alignment horizontal="right"/>
    </xf>
    <xf numFmtId="0" fontId="0" fillId="2" borderId="0" xfId="0" applyFill="1" applyBorder="1" applyAlignment="1">
      <alignment horizontal="right"/>
    </xf>
    <xf numFmtId="0" fontId="2" fillId="2" borderId="15" xfId="0" applyFont="1" applyFill="1" applyBorder="1" applyAlignment="1">
      <alignment horizontal="right"/>
    </xf>
    <xf numFmtId="0" fontId="1" fillId="3" borderId="46" xfId="0" applyFont="1" applyFill="1" applyBorder="1" applyAlignment="1">
      <alignment horizontal="right"/>
    </xf>
    <xf numFmtId="0" fontId="0" fillId="0" borderId="50" xfId="0" applyBorder="1" applyAlignment="1">
      <alignment horizontal="right"/>
    </xf>
    <xf numFmtId="0" fontId="2" fillId="2" borderId="7" xfId="0" applyFont="1" applyFill="1" applyBorder="1" applyAlignment="1">
      <alignment horizontal="right"/>
    </xf>
    <xf numFmtId="0" fontId="0" fillId="2" borderId="7" xfId="0" applyFill="1" applyBorder="1" applyAlignment="1">
      <alignment horizontal="right"/>
    </xf>
    <xf numFmtId="0" fontId="0" fillId="2" borderId="37" xfId="0" applyFill="1" applyBorder="1" applyAlignment="1">
      <alignment horizontal="right"/>
    </xf>
    <xf numFmtId="0" fontId="0" fillId="2" borderId="3" xfId="0" applyFill="1" applyBorder="1" applyAlignment="1">
      <alignment horizontal="right"/>
    </xf>
    <xf numFmtId="0" fontId="2" fillId="2" borderId="17" xfId="0" applyFont="1" applyFill="1" applyBorder="1"/>
    <xf numFmtId="0" fontId="2" fillId="6" borderId="17" xfId="0" applyFont="1" applyFill="1" applyBorder="1"/>
    <xf numFmtId="0" fontId="2" fillId="6" borderId="9" xfId="0" applyFont="1" applyFill="1" applyBorder="1"/>
    <xf numFmtId="9" fontId="0" fillId="2" borderId="37" xfId="0" applyNumberFormat="1" applyFill="1" applyBorder="1" applyAlignment="1">
      <alignment horizontal="left" vertical="top" wrapText="1"/>
    </xf>
    <xf numFmtId="0" fontId="0" fillId="2" borderId="13" xfId="0" applyFont="1" applyFill="1" applyBorder="1" applyAlignment="1">
      <alignment horizontal="left" indent="1"/>
    </xf>
    <xf numFmtId="0" fontId="0" fillId="2" borderId="8" xfId="0" applyFont="1" applyFill="1" applyBorder="1" applyAlignment="1">
      <alignment horizontal="left" indent="1"/>
    </xf>
    <xf numFmtId="0" fontId="0" fillId="2" borderId="52" xfId="0" applyFill="1" applyBorder="1" applyAlignment="1">
      <alignment horizontal="center"/>
    </xf>
    <xf numFmtId="0" fontId="0" fillId="6" borderId="23" xfId="0" applyFill="1" applyBorder="1" applyAlignment="1">
      <alignment horizontal="center"/>
    </xf>
    <xf numFmtId="0" fontId="2" fillId="2" borderId="23" xfId="0" applyFont="1" applyFill="1" applyBorder="1" applyAlignment="1">
      <alignment horizontal="center"/>
    </xf>
    <xf numFmtId="165" fontId="2" fillId="2" borderId="23" xfId="1" applyNumberFormat="1" applyFont="1" applyFill="1" applyBorder="1" applyAlignment="1">
      <alignment horizontal="right"/>
    </xf>
    <xf numFmtId="0" fontId="2" fillId="2" borderId="23" xfId="0" applyFont="1" applyFill="1" applyBorder="1" applyAlignment="1">
      <alignment horizontal="right"/>
    </xf>
    <xf numFmtId="0" fontId="2" fillId="2" borderId="21" xfId="0" applyFont="1" applyFill="1" applyBorder="1" applyAlignment="1">
      <alignment horizontal="right"/>
    </xf>
    <xf numFmtId="165" fontId="2" fillId="2" borderId="1" xfId="1" applyNumberFormat="1" applyFont="1" applyFill="1" applyBorder="1" applyAlignment="1">
      <alignment horizontal="right"/>
    </xf>
    <xf numFmtId="0" fontId="0" fillId="2" borderId="1" xfId="0" applyFont="1" applyFill="1" applyBorder="1" applyAlignment="1">
      <alignment horizontal="right"/>
    </xf>
    <xf numFmtId="0" fontId="8" fillId="2" borderId="53" xfId="0" applyFont="1" applyFill="1" applyBorder="1" applyAlignment="1">
      <alignment vertical="top" wrapText="1"/>
    </xf>
    <xf numFmtId="0" fontId="0" fillId="2" borderId="8" xfId="0" applyFont="1" applyFill="1" applyBorder="1" applyAlignment="1">
      <alignment horizontal="left" vertical="top" indent="1"/>
    </xf>
    <xf numFmtId="0" fontId="12" fillId="2" borderId="53" xfId="0" applyFont="1" applyFill="1" applyBorder="1" applyAlignment="1">
      <alignment vertical="top" wrapText="1"/>
    </xf>
    <xf numFmtId="0" fontId="0" fillId="2" borderId="54" xfId="0" applyFont="1" applyFill="1" applyBorder="1" applyAlignment="1">
      <alignment horizontal="left" vertical="top" indent="1"/>
    </xf>
    <xf numFmtId="0" fontId="0" fillId="2" borderId="13" xfId="0" applyFont="1" applyFill="1" applyBorder="1" applyAlignment="1">
      <alignment horizontal="left" vertical="top" indent="1"/>
    </xf>
    <xf numFmtId="0" fontId="0" fillId="2" borderId="14" xfId="0" applyFont="1" applyFill="1" applyBorder="1" applyAlignment="1">
      <alignment horizontal="left" vertical="top"/>
    </xf>
    <xf numFmtId="0" fontId="0" fillId="2" borderId="15" xfId="0" applyFont="1" applyFill="1" applyBorder="1" applyAlignment="1">
      <alignment horizontal="left" vertical="top"/>
    </xf>
    <xf numFmtId="0" fontId="12" fillId="2" borderId="20" xfId="0" applyFont="1" applyFill="1" applyBorder="1" applyAlignment="1">
      <alignment vertical="top"/>
    </xf>
    <xf numFmtId="0" fontId="12" fillId="2" borderId="22" xfId="0" applyFont="1" applyFill="1" applyBorder="1" applyAlignment="1">
      <alignment horizontal="left" vertical="top" indent="1"/>
    </xf>
    <xf numFmtId="0" fontId="0" fillId="2" borderId="21" xfId="0" applyFill="1" applyBorder="1" applyAlignment="1">
      <alignment horizontal="left" vertical="top" wrapText="1"/>
    </xf>
    <xf numFmtId="165" fontId="0" fillId="7" borderId="1" xfId="1" applyNumberFormat="1" applyFont="1" applyFill="1" applyBorder="1" applyAlignment="1">
      <alignment horizontal="center"/>
    </xf>
    <xf numFmtId="0" fontId="0" fillId="7" borderId="1" xfId="0" applyFill="1" applyBorder="1"/>
    <xf numFmtId="9" fontId="0" fillId="7" borderId="1" xfId="0" applyNumberFormat="1" applyFill="1" applyBorder="1" applyAlignment="1">
      <alignment horizontal="center" wrapText="1"/>
    </xf>
    <xf numFmtId="0" fontId="0" fillId="7" borderId="1" xfId="0" applyFill="1" applyBorder="1" applyAlignment="1">
      <alignment vertical="top" wrapText="1"/>
    </xf>
    <xf numFmtId="164" fontId="0" fillId="7" borderId="1" xfId="0" applyNumberFormat="1" applyFill="1" applyBorder="1" applyAlignment="1">
      <alignment horizontal="center"/>
    </xf>
    <xf numFmtId="9" fontId="0" fillId="7" borderId="15" xfId="0" applyNumberFormat="1" applyFill="1" applyBorder="1" applyAlignment="1">
      <alignment horizontal="center" wrapText="1"/>
    </xf>
    <xf numFmtId="164" fontId="12" fillId="7" borderId="14" xfId="0" applyNumberFormat="1" applyFont="1" applyFill="1" applyBorder="1" applyAlignment="1">
      <alignment horizontal="center"/>
    </xf>
    <xf numFmtId="0" fontId="12" fillId="7" borderId="1" xfId="0" applyFont="1" applyFill="1" applyBorder="1"/>
    <xf numFmtId="9" fontId="12" fillId="7" borderId="15" xfId="0" applyNumberFormat="1" applyFont="1" applyFill="1" applyBorder="1" applyAlignment="1">
      <alignment horizontal="center" wrapText="1"/>
    </xf>
    <xf numFmtId="0" fontId="2" fillId="7" borderId="1" xfId="0" applyFont="1" applyFill="1" applyBorder="1"/>
    <xf numFmtId="0" fontId="0" fillId="7" borderId="13" xfId="0" applyFont="1" applyFill="1" applyBorder="1" applyAlignment="1">
      <alignment horizontal="left" indent="1"/>
    </xf>
    <xf numFmtId="0" fontId="0" fillId="7" borderId="8" xfId="0" applyFont="1" applyFill="1" applyBorder="1" applyAlignment="1">
      <alignment horizontal="left" indent="1"/>
    </xf>
    <xf numFmtId="0" fontId="0" fillId="7" borderId="22" xfId="0" applyFont="1" applyFill="1" applyBorder="1" applyAlignment="1">
      <alignment horizontal="left" indent="1"/>
    </xf>
    <xf numFmtId="0" fontId="0" fillId="7" borderId="1" xfId="0" applyFont="1" applyFill="1" applyBorder="1" applyAlignment="1">
      <alignment horizontal="left" indent="1"/>
    </xf>
    <xf numFmtId="0" fontId="0" fillId="7" borderId="8" xfId="0" applyFill="1" applyBorder="1" applyAlignment="1">
      <alignment horizontal="left" indent="1"/>
    </xf>
    <xf numFmtId="0" fontId="2" fillId="7" borderId="8" xfId="0" applyFont="1" applyFill="1" applyBorder="1" applyAlignment="1">
      <alignment horizontal="left" indent="1"/>
    </xf>
    <xf numFmtId="0" fontId="0" fillId="7" borderId="8" xfId="0" applyFont="1" applyFill="1" applyBorder="1"/>
    <xf numFmtId="0" fontId="2" fillId="4" borderId="14" xfId="0" applyFont="1" applyFill="1" applyBorder="1" applyAlignment="1" applyProtection="1">
      <alignment horizontal="center" vertical="top"/>
      <protection locked="0"/>
    </xf>
    <xf numFmtId="9" fontId="0" fillId="4" borderId="11" xfId="0" applyNumberForma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9" fontId="8" fillId="4" borderId="1" xfId="0" applyNumberFormat="1" applyFont="1" applyFill="1" applyBorder="1" applyAlignment="1" applyProtection="1">
      <alignment horizontal="center" vertical="top"/>
      <protection locked="0"/>
    </xf>
    <xf numFmtId="9" fontId="0" fillId="2" borderId="1" xfId="0" applyNumberFormat="1" applyFill="1" applyBorder="1" applyAlignment="1">
      <alignment horizontal="center" vertical="top"/>
    </xf>
    <xf numFmtId="0" fontId="0" fillId="0" borderId="0" xfId="0" applyFill="1" applyBorder="1"/>
    <xf numFmtId="165" fontId="0" fillId="2" borderId="51" xfId="2" applyNumberFormat="1" applyFont="1" applyFill="1" applyBorder="1" applyAlignment="1">
      <alignment horizontal="right"/>
    </xf>
    <xf numFmtId="165" fontId="0" fillId="2" borderId="51" xfId="2" applyNumberFormat="1" applyFont="1" applyFill="1" applyBorder="1" applyAlignment="1">
      <alignment horizontal="center"/>
    </xf>
    <xf numFmtId="165" fontId="0" fillId="2" borderId="20" xfId="2" applyNumberFormat="1" applyFont="1" applyFill="1" applyBorder="1" applyAlignment="1">
      <alignment horizontal="center"/>
    </xf>
    <xf numFmtId="0" fontId="6" fillId="0" borderId="0" xfId="0" applyFont="1" applyAlignment="1">
      <alignment horizontal="left" vertical="top" wrapText="1"/>
    </xf>
    <xf numFmtId="0" fontId="1" fillId="3" borderId="38" xfId="0" applyFont="1" applyFill="1" applyBorder="1" applyAlignment="1">
      <alignment horizontal="left" vertical="top" indent="1"/>
    </xf>
    <xf numFmtId="0" fontId="1" fillId="3" borderId="39" xfId="0" applyFont="1" applyFill="1" applyBorder="1" applyAlignment="1">
      <alignment horizontal="left" vertical="top" indent="1"/>
    </xf>
    <xf numFmtId="0" fontId="1" fillId="3" borderId="40" xfId="0" applyFont="1" applyFill="1" applyBorder="1" applyAlignment="1">
      <alignment horizontal="left" vertical="top" indent="1"/>
    </xf>
    <xf numFmtId="0" fontId="4" fillId="3" borderId="41" xfId="0" applyFont="1" applyFill="1" applyBorder="1" applyAlignment="1">
      <alignment horizontal="left" vertical="top"/>
    </xf>
    <xf numFmtId="0" fontId="4" fillId="3" borderId="42" xfId="0" applyFont="1" applyFill="1" applyBorder="1" applyAlignment="1">
      <alignment horizontal="left" vertical="top"/>
    </xf>
    <xf numFmtId="0" fontId="4" fillId="3" borderId="43"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0" fontId="0" fillId="2" borderId="21" xfId="0" applyFill="1" applyBorder="1" applyAlignment="1">
      <alignment horizontal="left" vertical="top" wrapText="1"/>
    </xf>
    <xf numFmtId="9" fontId="0" fillId="2" borderId="37"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4" xfId="0" applyFont="1" applyFill="1" applyBorder="1" applyAlignment="1">
      <alignment horizontal="left" vertical="top" indent="1"/>
    </xf>
    <xf numFmtId="0" fontId="9" fillId="3" borderId="45" xfId="0" applyFont="1" applyFill="1" applyBorder="1" applyAlignment="1">
      <alignment horizontal="left" vertical="top" indent="1"/>
    </xf>
    <xf numFmtId="0" fontId="9" fillId="3" borderId="46" xfId="0" applyFont="1" applyFill="1" applyBorder="1" applyAlignment="1">
      <alignment horizontal="left" vertical="top" indent="1"/>
    </xf>
    <xf numFmtId="0" fontId="9" fillId="3" borderId="38" xfId="0" applyFont="1" applyFill="1" applyBorder="1" applyAlignment="1">
      <alignment horizontal="left" vertical="top" indent="1"/>
    </xf>
    <xf numFmtId="0" fontId="9" fillId="3" borderId="39" xfId="0" applyFont="1" applyFill="1" applyBorder="1" applyAlignment="1">
      <alignment horizontal="left" vertical="top" indent="1"/>
    </xf>
    <xf numFmtId="0" fontId="9" fillId="3" borderId="40" xfId="0" applyFont="1" applyFill="1" applyBorder="1" applyAlignment="1">
      <alignment horizontal="left" vertical="top" inden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1" fillId="3" borderId="49" xfId="0" applyFont="1" applyFill="1" applyBorder="1" applyAlignment="1">
      <alignment horizontal="center"/>
    </xf>
    <xf numFmtId="0" fontId="1" fillId="3" borderId="24" xfId="0" applyFont="1" applyFill="1" applyBorder="1" applyAlignment="1">
      <alignment horizontal="center"/>
    </xf>
    <xf numFmtId="0" fontId="1" fillId="3" borderId="38" xfId="0" applyFont="1" applyFill="1" applyBorder="1" applyAlignment="1">
      <alignment horizontal="center"/>
    </xf>
    <xf numFmtId="0" fontId="1" fillId="3" borderId="39"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8" xfId="0" applyFont="1" applyFill="1" applyBorder="1" applyAlignment="1">
      <alignment horizontal="left"/>
    </xf>
    <xf numFmtId="0" fontId="1" fillId="3" borderId="39" xfId="0" applyFont="1" applyFill="1" applyBorder="1" applyAlignment="1">
      <alignment horizontal="left"/>
    </xf>
    <xf numFmtId="0" fontId="1" fillId="3" borderId="49" xfId="0" applyFont="1" applyFill="1" applyBorder="1" applyAlignment="1">
      <alignment horizontal="left"/>
    </xf>
    <xf numFmtId="0" fontId="1" fillId="3" borderId="24" xfId="0" applyFont="1" applyFill="1" applyBorder="1" applyAlignment="1">
      <alignment horizontal="left"/>
    </xf>
    <xf numFmtId="0" fontId="2" fillId="0" borderId="1" xfId="0" applyFont="1" applyBorder="1"/>
    <xf numFmtId="165" fontId="1" fillId="3" borderId="5" xfId="1" applyNumberFormat="1" applyFont="1" applyFill="1" applyBorder="1" applyAlignment="1">
      <alignment horizontal="center"/>
    </xf>
    <xf numFmtId="0" fontId="1" fillId="3" borderId="5" xfId="0" applyFont="1" applyFill="1" applyBorder="1"/>
    <xf numFmtId="0" fontId="1" fillId="3" borderId="4" xfId="0" applyFont="1" applyFill="1" applyBorder="1" applyAlignment="1"/>
    <xf numFmtId="0" fontId="2" fillId="2" borderId="13" xfId="0" applyFont="1" applyFill="1" applyBorder="1" applyAlignment="1">
      <alignment vertical="top"/>
    </xf>
    <xf numFmtId="0" fontId="2" fillId="2" borderId="9" xfId="0" applyFont="1" applyFill="1" applyBorder="1" applyAlignment="1">
      <alignment vertical="top"/>
    </xf>
    <xf numFmtId="0" fontId="0" fillId="7" borderId="13" xfId="0" applyFont="1" applyFill="1" applyBorder="1" applyAlignment="1">
      <alignment vertical="top"/>
    </xf>
    <xf numFmtId="0" fontId="0" fillId="7" borderId="9" xfId="0" applyFont="1" applyFill="1" applyBorder="1" applyAlignment="1">
      <alignment vertical="top"/>
    </xf>
    <xf numFmtId="0" fontId="0" fillId="2" borderId="13" xfId="0" applyFill="1" applyBorder="1" applyAlignment="1">
      <alignment vertical="top"/>
    </xf>
    <xf numFmtId="0" fontId="0" fillId="2" borderId="8" xfId="0" applyFill="1" applyBorder="1" applyAlignment="1">
      <alignment vertical="top"/>
    </xf>
    <xf numFmtId="0" fontId="2" fillId="2" borderId="8" xfId="0" applyFont="1" applyFill="1" applyBorder="1" applyAlignment="1">
      <alignment vertical="top"/>
    </xf>
    <xf numFmtId="0" fontId="0" fillId="7" borderId="13" xfId="0" applyFill="1" applyBorder="1" applyAlignment="1">
      <alignment vertical="top"/>
    </xf>
    <xf numFmtId="0" fontId="0" fillId="7" borderId="8" xfId="0" applyFill="1" applyBorder="1" applyAlignment="1">
      <alignment vertical="top"/>
    </xf>
    <xf numFmtId="0" fontId="2" fillId="2" borderId="10" xfId="0" applyFont="1" applyFill="1" applyBorder="1" applyAlignment="1">
      <alignment vertical="top"/>
    </xf>
    <xf numFmtId="0" fontId="0" fillId="2" borderId="9" xfId="0" applyFill="1" applyBorder="1" applyAlignment="1">
      <alignment vertical="top"/>
    </xf>
    <xf numFmtId="0" fontId="0" fillId="2" borderId="1" xfId="0" applyFont="1" applyFill="1" applyBorder="1" applyAlignment="1">
      <alignment vertical="top"/>
    </xf>
    <xf numFmtId="0" fontId="0" fillId="7" borderId="1" xfId="0" applyFont="1" applyFill="1" applyBorder="1" applyAlignment="1">
      <alignment vertical="top"/>
    </xf>
    <xf numFmtId="0" fontId="2" fillId="2" borderId="13" xfId="0" applyFont="1" applyFill="1" applyBorder="1" applyAlignment="1"/>
    <xf numFmtId="0" fontId="2" fillId="2" borderId="8" xfId="0" applyFont="1" applyFill="1" applyBorder="1" applyAlignment="1"/>
    <xf numFmtId="0" fontId="0" fillId="2" borderId="8" xfId="0" applyFill="1" applyBorder="1" applyAlignment="1"/>
    <xf numFmtId="0" fontId="12" fillId="2" borderId="8" xfId="0" applyFont="1" applyFill="1" applyBorder="1" applyAlignment="1"/>
    <xf numFmtId="0" fontId="0" fillId="7" borderId="8" xfId="0" applyFill="1" applyBorder="1" applyAlignment="1"/>
    <xf numFmtId="0" fontId="12" fillId="7" borderId="8" xfId="0" applyFont="1" applyFill="1" applyBorder="1" applyAlignment="1"/>
    <xf numFmtId="0" fontId="0" fillId="7" borderId="8" xfId="0" applyFont="1" applyFill="1" applyBorder="1" applyAlignment="1"/>
    <xf numFmtId="0" fontId="2" fillId="3" borderId="4" xfId="0" applyFont="1" applyFill="1" applyBorder="1" applyAlignment="1"/>
    <xf numFmtId="0" fontId="8" fillId="2" borderId="8" xfId="0" applyFont="1" applyFill="1" applyBorder="1" applyAlignment="1"/>
  </cellXfs>
  <cellStyles count="3">
    <cellStyle name="Comma" xfId="1" builtinId="3"/>
    <cellStyle name="Comma 2" xfId="2"/>
    <cellStyle name="Normal" xfId="0" builtinId="0"/>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E8" sqref="E8"/>
    </sheetView>
  </sheetViews>
  <sheetFormatPr defaultColWidth="8.7109375" defaultRowHeight="12.75" x14ac:dyDescent="0.2"/>
  <cols>
    <col min="1" max="1" width="106.28515625" customWidth="1"/>
  </cols>
  <sheetData>
    <row r="1" spans="1:2" ht="15.75" x14ac:dyDescent="0.2">
      <c r="A1" s="42" t="s">
        <v>74</v>
      </c>
    </row>
    <row r="2" spans="1:2" ht="13.5" thickBot="1" x14ac:dyDescent="0.25">
      <c r="A2" s="43" t="s">
        <v>227</v>
      </c>
    </row>
    <row r="3" spans="1:2" ht="13.5" thickBot="1" x14ac:dyDescent="0.25">
      <c r="A3" s="36"/>
    </row>
    <row r="4" spans="1:2" x14ac:dyDescent="0.2">
      <c r="A4" s="44" t="s">
        <v>66</v>
      </c>
    </row>
    <row r="5" spans="1:2" x14ac:dyDescent="0.2">
      <c r="A5" s="70" t="s">
        <v>122</v>
      </c>
    </row>
    <row r="6" spans="1:2" ht="25.5" customHeight="1" x14ac:dyDescent="0.2">
      <c r="A6" s="70" t="s">
        <v>123</v>
      </c>
    </row>
    <row r="7" spans="1:2" ht="38.25" customHeight="1" x14ac:dyDescent="0.2">
      <c r="A7" s="70" t="s">
        <v>124</v>
      </c>
    </row>
    <row r="8" spans="1:2" ht="13.5" thickBot="1" x14ac:dyDescent="0.25">
      <c r="A8" s="38"/>
    </row>
    <row r="9" spans="1:2" x14ac:dyDescent="0.2">
      <c r="A9" s="66" t="s">
        <v>65</v>
      </c>
    </row>
    <row r="10" spans="1:2" ht="38.25" x14ac:dyDescent="0.2">
      <c r="A10" s="67" t="s">
        <v>125</v>
      </c>
    </row>
    <row r="11" spans="1:2" ht="23.25" customHeight="1" x14ac:dyDescent="0.2">
      <c r="A11" s="67" t="s">
        <v>126</v>
      </c>
    </row>
    <row r="12" spans="1:2" ht="25.5" x14ac:dyDescent="0.2">
      <c r="A12" s="67" t="s">
        <v>153</v>
      </c>
    </row>
    <row r="13" spans="1:2" ht="25.5" x14ac:dyDescent="0.2">
      <c r="A13" s="67" t="s">
        <v>154</v>
      </c>
    </row>
    <row r="14" spans="1:2" ht="26.25" thickBot="1" x14ac:dyDescent="0.25">
      <c r="A14" s="68" t="s">
        <v>127</v>
      </c>
    </row>
    <row r="15" spans="1:2" x14ac:dyDescent="0.2">
      <c r="A15" s="37"/>
    </row>
    <row r="16" spans="1:2" ht="68.25" customHeight="1" x14ac:dyDescent="0.2">
      <c r="A16" s="218" t="s">
        <v>130</v>
      </c>
      <c r="B16" s="218"/>
    </row>
    <row r="17" spans="1:1" x14ac:dyDescent="0.2">
      <c r="A17" s="37"/>
    </row>
  </sheetData>
  <mergeCells count="1">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topLeftCell="A10" zoomScale="130" zoomScaleNormal="130" zoomScalePageLayoutView="130" workbookViewId="0">
      <selection activeCell="A17" sqref="A17"/>
    </sheetView>
  </sheetViews>
  <sheetFormatPr defaultColWidth="8.7109375" defaultRowHeight="12.75" x14ac:dyDescent="0.2"/>
  <cols>
    <col min="1" max="1" width="64.28515625" customWidth="1"/>
    <col min="2" max="2" width="15.7109375" style="3" customWidth="1"/>
    <col min="3" max="3" width="15.7109375" customWidth="1"/>
    <col min="4" max="4" width="60.7109375" style="7" customWidth="1"/>
  </cols>
  <sheetData>
    <row r="1" spans="1:4" ht="16.149999999999999" customHeight="1" x14ac:dyDescent="0.25">
      <c r="A1" s="48" t="s">
        <v>74</v>
      </c>
      <c r="B1" s="49"/>
      <c r="C1" s="50"/>
      <c r="D1" s="51"/>
    </row>
    <row r="2" spans="1:4" ht="16.149999999999999" customHeight="1" thickBot="1" x14ac:dyDescent="0.3">
      <c r="A2" s="52" t="s">
        <v>226</v>
      </c>
      <c r="B2" s="53"/>
      <c r="C2" s="54"/>
      <c r="D2" s="55"/>
    </row>
    <row r="3" spans="1:4" ht="12.75" customHeight="1" thickBot="1" x14ac:dyDescent="0.25"/>
    <row r="4" spans="1:4" ht="12.75" customHeight="1" thickBot="1" x14ac:dyDescent="0.25">
      <c r="A4" s="45" t="s">
        <v>50</v>
      </c>
      <c r="B4" s="46"/>
      <c r="C4" s="46"/>
    </row>
    <row r="5" spans="1:4" ht="12.75" hidden="1" customHeight="1" x14ac:dyDescent="0.2"/>
    <row r="6" spans="1:4" ht="13.5" thickBot="1" x14ac:dyDescent="0.25"/>
    <row r="7" spans="1:4" ht="16.149999999999999" customHeight="1" thickBot="1" x14ac:dyDescent="0.25">
      <c r="A7" s="12" t="s">
        <v>46</v>
      </c>
      <c r="B7" s="13" t="s">
        <v>10</v>
      </c>
      <c r="C7" s="13" t="s">
        <v>11</v>
      </c>
      <c r="D7" s="14" t="s">
        <v>9</v>
      </c>
    </row>
    <row r="8" spans="1:4" ht="16.149999999999999" customHeight="1" thickBot="1" x14ac:dyDescent="0.25">
      <c r="A8" s="222" t="s">
        <v>1</v>
      </c>
      <c r="B8" s="223"/>
      <c r="C8" s="223"/>
      <c r="D8" s="224"/>
    </row>
    <row r="9" spans="1:4" ht="12.75" customHeight="1" x14ac:dyDescent="0.2">
      <c r="A9" s="185" t="s">
        <v>197</v>
      </c>
      <c r="B9" s="56">
        <v>1800</v>
      </c>
      <c r="C9" s="21" t="s">
        <v>23</v>
      </c>
      <c r="D9" s="22" t="s">
        <v>71</v>
      </c>
    </row>
    <row r="10" spans="1:4" ht="12.75" customHeight="1" x14ac:dyDescent="0.2">
      <c r="A10" s="16" t="s">
        <v>30</v>
      </c>
      <c r="B10" s="57">
        <v>200</v>
      </c>
      <c r="C10" s="9" t="s">
        <v>31</v>
      </c>
      <c r="D10" s="15" t="s">
        <v>34</v>
      </c>
    </row>
    <row r="11" spans="1:4" ht="12.75" hidden="1" customHeight="1" thickBot="1" x14ac:dyDescent="0.25">
      <c r="A11" s="94" t="s">
        <v>72</v>
      </c>
      <c r="B11" s="95"/>
      <c r="C11" s="96" t="s">
        <v>32</v>
      </c>
      <c r="D11" s="97" t="s">
        <v>33</v>
      </c>
    </row>
    <row r="12" spans="1:4" ht="12.75" customHeight="1" x14ac:dyDescent="0.2">
      <c r="A12" s="189" t="s">
        <v>198</v>
      </c>
      <c r="B12" s="95"/>
      <c r="C12" s="21" t="s">
        <v>23</v>
      </c>
      <c r="D12" s="181"/>
    </row>
    <row r="13" spans="1:4" ht="12.75" customHeight="1" x14ac:dyDescent="0.2">
      <c r="A13" s="189" t="s">
        <v>200</v>
      </c>
      <c r="B13" s="29">
        <f>B9-B12</f>
        <v>1800</v>
      </c>
      <c r="C13" s="21" t="s">
        <v>202</v>
      </c>
      <c r="D13" s="181"/>
    </row>
    <row r="14" spans="1:4" ht="12.75" customHeight="1" x14ac:dyDescent="0.2">
      <c r="A14" s="189" t="s">
        <v>199</v>
      </c>
      <c r="B14" s="95"/>
      <c r="C14" s="9" t="s">
        <v>31</v>
      </c>
      <c r="D14" s="181"/>
    </row>
    <row r="15" spans="1:4" ht="12.75" customHeight="1" x14ac:dyDescent="0.2">
      <c r="A15" s="189" t="s">
        <v>201</v>
      </c>
      <c r="B15" s="29">
        <f>B10-B14</f>
        <v>200</v>
      </c>
      <c r="C15" s="9" t="s">
        <v>31</v>
      </c>
      <c r="D15" s="181"/>
    </row>
    <row r="16" spans="1:4" ht="12.75" customHeight="1" x14ac:dyDescent="0.2">
      <c r="A16" s="182" t="s">
        <v>172</v>
      </c>
      <c r="B16" s="95"/>
      <c r="C16" s="9" t="s">
        <v>23</v>
      </c>
      <c r="D16" s="183"/>
    </row>
    <row r="17" spans="1:9" ht="12.75" customHeight="1" x14ac:dyDescent="0.2">
      <c r="A17" s="184" t="s">
        <v>173</v>
      </c>
      <c r="B17" s="95"/>
      <c r="C17" s="9" t="s">
        <v>174</v>
      </c>
      <c r="D17" s="183"/>
    </row>
    <row r="18" spans="1:9" ht="73.5" customHeight="1" x14ac:dyDescent="0.2">
      <c r="A18" s="98" t="s">
        <v>121</v>
      </c>
      <c r="B18" s="99">
        <v>5</v>
      </c>
      <c r="C18" s="100" t="s">
        <v>120</v>
      </c>
      <c r="D18" s="121" t="s">
        <v>224</v>
      </c>
    </row>
    <row r="19" spans="1:9" ht="16.149999999999999" customHeight="1" thickBot="1" x14ac:dyDescent="0.25">
      <c r="A19" s="225" t="s">
        <v>20</v>
      </c>
      <c r="B19" s="226"/>
      <c r="C19" s="226"/>
      <c r="D19" s="227"/>
    </row>
    <row r="20" spans="1:9" ht="12.75" customHeight="1" x14ac:dyDescent="0.2">
      <c r="A20" s="254" t="s">
        <v>54</v>
      </c>
      <c r="B20" s="208">
        <v>60000</v>
      </c>
      <c r="C20" s="30" t="s">
        <v>55</v>
      </c>
      <c r="D20" s="31" t="s">
        <v>68</v>
      </c>
    </row>
    <row r="21" spans="1:9" ht="12.75" customHeight="1" x14ac:dyDescent="0.2">
      <c r="A21" s="254" t="s">
        <v>56</v>
      </c>
      <c r="B21" s="58">
        <v>30</v>
      </c>
      <c r="C21" s="30" t="s">
        <v>24</v>
      </c>
      <c r="D21" s="31"/>
    </row>
    <row r="22" spans="1:9" ht="12.75" customHeight="1" x14ac:dyDescent="0.2">
      <c r="A22" s="254" t="s">
        <v>43</v>
      </c>
      <c r="B22" s="29">
        <f>IF(B20&gt;0,(3600*B9)/B20,0)</f>
        <v>108</v>
      </c>
      <c r="C22" s="21" t="s">
        <v>24</v>
      </c>
      <c r="D22" s="22"/>
    </row>
    <row r="23" spans="1:9" ht="12.75" customHeight="1" thickBot="1" x14ac:dyDescent="0.25">
      <c r="A23" s="255" t="s">
        <v>57</v>
      </c>
      <c r="B23" s="35">
        <f>IF((B21+B22)&gt;0,B9/(B21+B22),0)</f>
        <v>13.043478260869565</v>
      </c>
      <c r="C23" s="10" t="s">
        <v>44</v>
      </c>
      <c r="D23" s="27" t="s">
        <v>52</v>
      </c>
    </row>
    <row r="24" spans="1:9" ht="16.149999999999999" customHeight="1" thickBot="1" x14ac:dyDescent="0.25">
      <c r="A24" s="225" t="s">
        <v>175</v>
      </c>
      <c r="B24" s="226"/>
      <c r="C24" s="226"/>
      <c r="D24" s="227"/>
    </row>
    <row r="25" spans="1:9" ht="12.75" customHeight="1" x14ac:dyDescent="0.2">
      <c r="A25" s="256" t="s">
        <v>176</v>
      </c>
      <c r="B25" s="58"/>
      <c r="C25" s="186" t="s">
        <v>177</v>
      </c>
      <c r="D25" s="187" t="s">
        <v>178</v>
      </c>
    </row>
    <row r="26" spans="1:9" ht="12.75" customHeight="1" x14ac:dyDescent="0.2">
      <c r="A26" s="256" t="s">
        <v>179</v>
      </c>
      <c r="B26" s="58"/>
      <c r="C26" s="30" t="s">
        <v>24</v>
      </c>
      <c r="D26" s="31"/>
    </row>
    <row r="27" spans="1:9" ht="12.75" customHeight="1" x14ac:dyDescent="0.2">
      <c r="A27" s="256" t="s">
        <v>180</v>
      </c>
      <c r="B27" s="29">
        <v>1800</v>
      </c>
      <c r="C27" s="21" t="s">
        <v>24</v>
      </c>
      <c r="D27" s="22"/>
    </row>
    <row r="28" spans="1:9" ht="12.75" customHeight="1" thickBot="1" x14ac:dyDescent="0.25">
      <c r="A28" s="257" t="s">
        <v>181</v>
      </c>
      <c r="B28" s="35">
        <f>IF((B26+B27)&gt;0,B18/(B26+B27),0)</f>
        <v>2.7777777777777779E-3</v>
      </c>
      <c r="C28" s="10" t="s">
        <v>44</v>
      </c>
      <c r="D28" s="27" t="s">
        <v>182</v>
      </c>
    </row>
    <row r="29" spans="1:9" ht="16.149999999999999" customHeight="1" thickBot="1" x14ac:dyDescent="0.25">
      <c r="A29" s="222" t="s">
        <v>39</v>
      </c>
      <c r="B29" s="223"/>
      <c r="C29" s="223"/>
      <c r="D29" s="224"/>
      <c r="H29" s="64"/>
      <c r="I29" s="64"/>
    </row>
    <row r="30" spans="1:9" ht="12.75" customHeight="1" x14ac:dyDescent="0.2">
      <c r="A30" s="258" t="s">
        <v>2</v>
      </c>
      <c r="B30" s="210">
        <v>0.3</v>
      </c>
      <c r="C30" s="21" t="s">
        <v>35</v>
      </c>
      <c r="D30" s="228" t="s">
        <v>36</v>
      </c>
      <c r="H30" s="64"/>
      <c r="I30" s="64"/>
    </row>
    <row r="31" spans="1:9" ht="12.75" customHeight="1" x14ac:dyDescent="0.2">
      <c r="A31" s="259" t="s">
        <v>3</v>
      </c>
      <c r="B31" s="211">
        <v>0.3</v>
      </c>
      <c r="C31" s="9" t="s">
        <v>35</v>
      </c>
      <c r="D31" s="228"/>
      <c r="H31" s="64"/>
      <c r="I31" s="64"/>
    </row>
    <row r="32" spans="1:9" ht="12.75" hidden="1" customHeight="1" x14ac:dyDescent="0.2">
      <c r="A32" s="71" t="s">
        <v>73</v>
      </c>
      <c r="B32" s="212">
        <v>0</v>
      </c>
      <c r="C32" s="73" t="s">
        <v>35</v>
      </c>
      <c r="D32" s="229" t="s">
        <v>37</v>
      </c>
      <c r="H32" s="64"/>
      <c r="I32" s="64"/>
    </row>
    <row r="33" spans="1:9" ht="12.75" customHeight="1" x14ac:dyDescent="0.2">
      <c r="A33" s="259" t="s">
        <v>4</v>
      </c>
      <c r="B33" s="211">
        <v>0.1</v>
      </c>
      <c r="C33" s="28" t="s">
        <v>35</v>
      </c>
      <c r="D33" s="230"/>
      <c r="H33" s="64"/>
      <c r="I33" s="64"/>
    </row>
    <row r="34" spans="1:9" ht="12.75" customHeight="1" x14ac:dyDescent="0.2">
      <c r="A34" s="260" t="s">
        <v>147</v>
      </c>
      <c r="B34" s="211">
        <v>0.2</v>
      </c>
      <c r="C34" s="28" t="s">
        <v>35</v>
      </c>
      <c r="D34" s="123"/>
      <c r="H34" s="64"/>
      <c r="I34" s="64"/>
    </row>
    <row r="35" spans="1:9" ht="12.75" customHeight="1" x14ac:dyDescent="0.2">
      <c r="A35" s="259" t="s">
        <v>5</v>
      </c>
      <c r="B35" s="211">
        <v>0.1</v>
      </c>
      <c r="C35" s="9" t="s">
        <v>35</v>
      </c>
      <c r="D35" s="22" t="s">
        <v>38</v>
      </c>
      <c r="H35" s="64"/>
      <c r="I35" s="64"/>
    </row>
    <row r="36" spans="1:9" ht="12.75" customHeight="1" x14ac:dyDescent="0.2">
      <c r="A36" s="90" t="s">
        <v>6</v>
      </c>
      <c r="B36" s="213">
        <v>0.99999999999999989</v>
      </c>
      <c r="C36" s="9" t="s">
        <v>35</v>
      </c>
      <c r="D36" s="89" t="s">
        <v>40</v>
      </c>
      <c r="H36" s="64"/>
      <c r="I36" s="64"/>
    </row>
    <row r="37" spans="1:9" ht="12.75" customHeight="1" x14ac:dyDescent="0.2">
      <c r="A37" s="254" t="s">
        <v>112</v>
      </c>
      <c r="B37" s="210">
        <v>0.1</v>
      </c>
      <c r="C37" s="21" t="s">
        <v>35</v>
      </c>
      <c r="D37" s="22"/>
      <c r="H37" s="64"/>
      <c r="I37" s="64"/>
    </row>
    <row r="38" spans="1:9" ht="12.75" customHeight="1" x14ac:dyDescent="0.2">
      <c r="A38" s="254" t="s">
        <v>145</v>
      </c>
      <c r="B38" s="210">
        <v>0.05</v>
      </c>
      <c r="C38" s="21" t="s">
        <v>35</v>
      </c>
      <c r="D38" s="134" t="s">
        <v>149</v>
      </c>
      <c r="H38" s="64"/>
      <c r="I38" s="64"/>
    </row>
    <row r="39" spans="1:9" ht="12.75" customHeight="1" thickBot="1" x14ac:dyDescent="0.25">
      <c r="A39" s="254" t="s">
        <v>146</v>
      </c>
      <c r="B39" s="210">
        <v>0.05</v>
      </c>
      <c r="C39" s="21" t="s">
        <v>35</v>
      </c>
      <c r="D39" s="134" t="s">
        <v>150</v>
      </c>
      <c r="H39" s="64"/>
      <c r="I39" s="64"/>
    </row>
    <row r="40" spans="1:9" ht="16.899999999999999" customHeight="1" thickBot="1" x14ac:dyDescent="0.25">
      <c r="A40" s="222" t="s">
        <v>183</v>
      </c>
      <c r="B40" s="223"/>
      <c r="C40" s="223"/>
      <c r="D40" s="224"/>
      <c r="H40" s="64"/>
      <c r="I40" s="64"/>
    </row>
    <row r="41" spans="1:9" ht="12.75" customHeight="1" x14ac:dyDescent="0.2">
      <c r="A41" s="261" t="s">
        <v>184</v>
      </c>
      <c r="B41" s="59">
        <v>0.2</v>
      </c>
      <c r="C41" s="21" t="s">
        <v>35</v>
      </c>
      <c r="D41" s="228" t="s">
        <v>186</v>
      </c>
      <c r="H41" s="64"/>
      <c r="I41" s="64"/>
    </row>
    <row r="42" spans="1:9" ht="12.75" customHeight="1" x14ac:dyDescent="0.2">
      <c r="A42" s="262" t="s">
        <v>185</v>
      </c>
      <c r="B42" s="60">
        <v>0.28999999999999998</v>
      </c>
      <c r="C42" s="9" t="s">
        <v>35</v>
      </c>
      <c r="D42" s="228"/>
      <c r="H42" s="64"/>
      <c r="I42" s="64"/>
    </row>
    <row r="43" spans="1:9" ht="12.75" customHeight="1" x14ac:dyDescent="0.2">
      <c r="A43" s="262" t="s">
        <v>207</v>
      </c>
      <c r="B43" s="60">
        <v>0.2</v>
      </c>
      <c r="C43" s="28"/>
      <c r="D43" s="190"/>
      <c r="H43" s="64"/>
      <c r="I43" s="64"/>
    </row>
    <row r="44" spans="1:9" ht="12.75" customHeight="1" x14ac:dyDescent="0.2">
      <c r="A44" s="262" t="s">
        <v>188</v>
      </c>
      <c r="B44" s="72">
        <v>0.31</v>
      </c>
      <c r="C44" s="188" t="s">
        <v>35</v>
      </c>
      <c r="D44" s="170"/>
      <c r="H44" s="64"/>
      <c r="I44" s="64"/>
    </row>
    <row r="45" spans="1:9" ht="12.75" customHeight="1" thickBot="1" x14ac:dyDescent="0.25">
      <c r="A45" s="90" t="s">
        <v>6</v>
      </c>
      <c r="B45" s="88">
        <f>SUM(B41:B44)</f>
        <v>1</v>
      </c>
      <c r="C45" s="9" t="s">
        <v>35</v>
      </c>
      <c r="D45" s="89" t="s">
        <v>187</v>
      </c>
      <c r="H45" s="64"/>
      <c r="I45" s="64"/>
    </row>
    <row r="46" spans="1:9" ht="16.149999999999999" customHeight="1" thickBot="1" x14ac:dyDescent="0.25">
      <c r="A46" s="222" t="s">
        <v>75</v>
      </c>
      <c r="B46" s="223"/>
      <c r="C46" s="223"/>
      <c r="D46" s="224"/>
      <c r="H46" s="64"/>
      <c r="I46" s="64"/>
    </row>
    <row r="47" spans="1:9" ht="12.75" hidden="1" customHeight="1" x14ac:dyDescent="0.2">
      <c r="A47" s="82" t="s">
        <v>86</v>
      </c>
      <c r="B47" s="83">
        <v>5</v>
      </c>
      <c r="C47" s="84" t="s">
        <v>8</v>
      </c>
      <c r="D47" s="85" t="s">
        <v>49</v>
      </c>
      <c r="H47" s="64"/>
      <c r="I47" s="64"/>
    </row>
    <row r="48" spans="1:9" ht="12.75" customHeight="1" x14ac:dyDescent="0.2">
      <c r="A48" s="18" t="s">
        <v>84</v>
      </c>
      <c r="B48" s="211">
        <v>0.3</v>
      </c>
      <c r="C48" s="18" t="s">
        <v>23</v>
      </c>
      <c r="D48" s="81" t="s">
        <v>118</v>
      </c>
      <c r="H48" s="64"/>
      <c r="I48" s="64"/>
    </row>
    <row r="49" spans="1:9" ht="12.75" customHeight="1" thickBot="1" x14ac:dyDescent="0.25">
      <c r="A49" s="263" t="s">
        <v>69</v>
      </c>
      <c r="B49" s="209">
        <v>1</v>
      </c>
      <c r="C49" s="20" t="s">
        <v>8</v>
      </c>
      <c r="D49" s="86" t="s">
        <v>117</v>
      </c>
      <c r="H49" s="64"/>
      <c r="I49" s="64"/>
    </row>
    <row r="50" spans="1:9" ht="12.75" hidden="1" customHeight="1" x14ac:dyDescent="0.2">
      <c r="A50" s="231" t="s">
        <v>80</v>
      </c>
      <c r="B50" s="232"/>
      <c r="C50" s="232"/>
      <c r="D50" s="233"/>
      <c r="H50" s="64"/>
      <c r="I50" s="64"/>
    </row>
    <row r="51" spans="1:9" ht="12.75" hidden="1" customHeight="1" x14ac:dyDescent="0.2">
      <c r="A51" s="74" t="s">
        <v>76</v>
      </c>
      <c r="B51" s="75">
        <v>17</v>
      </c>
      <c r="C51" s="76" t="s">
        <v>25</v>
      </c>
      <c r="D51" s="77" t="s">
        <v>67</v>
      </c>
      <c r="H51" s="64"/>
      <c r="I51" s="64"/>
    </row>
    <row r="52" spans="1:9" ht="12.75" hidden="1" customHeight="1" x14ac:dyDescent="0.2">
      <c r="A52" s="74" t="s">
        <v>77</v>
      </c>
      <c r="B52" s="75">
        <v>10</v>
      </c>
      <c r="C52" s="76" t="s">
        <v>24</v>
      </c>
      <c r="D52" s="78" t="s">
        <v>41</v>
      </c>
      <c r="H52" s="64"/>
      <c r="I52" s="64"/>
    </row>
    <row r="53" spans="1:9" ht="12.75" hidden="1" customHeight="1" x14ac:dyDescent="0.2">
      <c r="A53" s="234" t="s">
        <v>81</v>
      </c>
      <c r="B53" s="235"/>
      <c r="C53" s="235"/>
      <c r="D53" s="236"/>
      <c r="H53" s="64"/>
      <c r="I53" s="64"/>
    </row>
    <row r="54" spans="1:9" ht="12.75" hidden="1" customHeight="1" x14ac:dyDescent="0.2">
      <c r="A54" s="74" t="s">
        <v>78</v>
      </c>
      <c r="B54" s="75">
        <v>6</v>
      </c>
      <c r="C54" s="76" t="s">
        <v>25</v>
      </c>
      <c r="D54" s="77" t="s">
        <v>29</v>
      </c>
      <c r="H54" s="64"/>
      <c r="I54" s="64"/>
    </row>
    <row r="55" spans="1:9" ht="12.75" hidden="1" customHeight="1" x14ac:dyDescent="0.2">
      <c r="A55" s="74" t="s">
        <v>79</v>
      </c>
      <c r="B55" s="75" t="e">
        <f>Average_Call_Duration_v801</f>
        <v>#NAME?</v>
      </c>
      <c r="C55" s="76" t="s">
        <v>24</v>
      </c>
      <c r="D55" s="77" t="s">
        <v>45</v>
      </c>
      <c r="H55" s="64"/>
      <c r="I55" s="64"/>
    </row>
    <row r="56" spans="1:9" ht="12.75" customHeight="1" thickBot="1" x14ac:dyDescent="0.25">
      <c r="A56" s="263" t="s">
        <v>151</v>
      </c>
      <c r="B56" s="61">
        <v>3000</v>
      </c>
      <c r="C56" s="20" t="s">
        <v>8</v>
      </c>
      <c r="D56" s="86"/>
      <c r="H56" s="64"/>
      <c r="I56" s="64"/>
    </row>
    <row r="57" spans="1:9" ht="12.75" customHeight="1" x14ac:dyDescent="0.2">
      <c r="A57" s="219" t="s">
        <v>21</v>
      </c>
      <c r="B57" s="220"/>
      <c r="C57" s="220"/>
      <c r="D57" s="221"/>
      <c r="H57" s="64"/>
      <c r="I57" s="64"/>
    </row>
    <row r="58" spans="1:9" ht="12.75" customHeight="1" x14ac:dyDescent="0.2">
      <c r="A58" s="259" t="s">
        <v>19</v>
      </c>
      <c r="B58" s="57">
        <v>1</v>
      </c>
      <c r="C58" s="18" t="s">
        <v>12</v>
      </c>
      <c r="D58" s="15" t="s">
        <v>47</v>
      </c>
      <c r="H58" s="64"/>
      <c r="I58" s="64"/>
    </row>
    <row r="59" spans="1:9" ht="12.75" customHeight="1" x14ac:dyDescent="0.2">
      <c r="A59" s="259" t="s">
        <v>48</v>
      </c>
      <c r="B59" s="57">
        <v>640</v>
      </c>
      <c r="C59" s="18" t="s">
        <v>13</v>
      </c>
      <c r="D59" s="15" t="s">
        <v>51</v>
      </c>
      <c r="H59" s="64"/>
      <c r="I59" s="64"/>
    </row>
    <row r="60" spans="1:9" ht="12.75" customHeight="1" x14ac:dyDescent="0.2">
      <c r="A60" s="259" t="s">
        <v>58</v>
      </c>
      <c r="B60" s="57">
        <v>1970</v>
      </c>
      <c r="C60" s="18" t="s">
        <v>13</v>
      </c>
      <c r="D60" s="15" t="s">
        <v>53</v>
      </c>
      <c r="H60" s="64"/>
      <c r="I60" s="64"/>
    </row>
    <row r="61" spans="1:9" ht="12.75" customHeight="1" x14ac:dyDescent="0.2">
      <c r="A61" s="219" t="s">
        <v>22</v>
      </c>
      <c r="B61" s="220"/>
      <c r="C61" s="220"/>
      <c r="D61" s="221"/>
      <c r="H61" s="64"/>
      <c r="I61" s="64"/>
    </row>
    <row r="62" spans="1:9" ht="12.75" customHeight="1" thickBot="1" x14ac:dyDescent="0.25">
      <c r="A62" s="255" t="s">
        <v>144</v>
      </c>
      <c r="B62" s="47">
        <v>2</v>
      </c>
      <c r="C62" s="18" t="s">
        <v>12</v>
      </c>
      <c r="D62" s="133" t="s">
        <v>143</v>
      </c>
      <c r="H62" s="64"/>
      <c r="I62" s="64"/>
    </row>
    <row r="63" spans="1:9" ht="12.75" customHeight="1" thickBot="1" x14ac:dyDescent="0.25">
      <c r="A63" s="264" t="s">
        <v>59</v>
      </c>
      <c r="B63" s="47">
        <v>100</v>
      </c>
      <c r="C63" s="19" t="s">
        <v>13</v>
      </c>
      <c r="D63" s="11" t="s">
        <v>70</v>
      </c>
      <c r="H63" s="64"/>
      <c r="I63" s="64"/>
    </row>
    <row r="64" spans="1:9" ht="12.75" customHeight="1" x14ac:dyDescent="0.2">
      <c r="A64" s="101"/>
      <c r="B64" s="102"/>
      <c r="C64" s="103"/>
      <c r="D64" s="104"/>
      <c r="F64" s="64"/>
      <c r="H64" s="64"/>
      <c r="I64" s="64"/>
    </row>
    <row r="65" spans="1:9" ht="26.25" customHeight="1" x14ac:dyDescent="0.25">
      <c r="A65" s="91" t="s">
        <v>205</v>
      </c>
      <c r="B65" s="92"/>
      <c r="C65" s="91"/>
      <c r="D65" s="93"/>
      <c r="F65" s="64"/>
    </row>
    <row r="66" spans="1:9" ht="12.75" customHeight="1" x14ac:dyDescent="0.2">
      <c r="A66" s="265" t="s">
        <v>189</v>
      </c>
      <c r="B66" s="105">
        <f>(((Number_of_nonSSO_agents*'BW Data'!E5)+(Number_of_SSO_agents*'BW Data'!E9))/(Max_Login_Time_All_Agents*60))*kbps*Bandwidth_Confidence_Factor</f>
        <v>192587.3664</v>
      </c>
      <c r="C66" s="6" t="s">
        <v>7</v>
      </c>
      <c r="D66" s="69"/>
      <c r="F66" s="64"/>
      <c r="H66" s="64"/>
      <c r="I66" s="64"/>
    </row>
    <row r="67" spans="1:9" ht="12.75" customHeight="1" x14ac:dyDescent="0.2">
      <c r="A67" s="265" t="s">
        <v>190</v>
      </c>
      <c r="B67" s="105">
        <f>(((Number_of_nonSSO_agents*'BW Data'!E6)+(Number_of_SSO_agents*'BW Data'!E10))/(Max_Login_Time_All_Agents*60))*kbps*Bandwidth_Confidence_Factor</f>
        <v>15527.1168</v>
      </c>
      <c r="C67" s="6" t="s">
        <v>7</v>
      </c>
      <c r="D67" s="89"/>
      <c r="F67" s="64"/>
      <c r="H67" s="106"/>
      <c r="I67" s="64"/>
    </row>
    <row r="68" spans="1:9" ht="12.75" customHeight="1" x14ac:dyDescent="0.2">
      <c r="A68" s="265" t="s">
        <v>191</v>
      </c>
      <c r="B68" s="105">
        <f>(((Number_of_nonSSO_supervisors*'BW Data'!E7)+(Number_of_SSO_supervisors*'BW Data'!E11))/(Max_Login_Time_All_Agents*60))*kbps*Bandwidth_Confidence_Factor</f>
        <v>23109.632000000001</v>
      </c>
      <c r="C68" s="6" t="s">
        <v>7</v>
      </c>
      <c r="D68" s="89"/>
      <c r="F68" s="64"/>
      <c r="H68" s="106"/>
      <c r="I68" s="64"/>
    </row>
    <row r="69" spans="1:9" ht="12.75" customHeight="1" thickBot="1" x14ac:dyDescent="0.25">
      <c r="A69" s="265" t="s">
        <v>192</v>
      </c>
      <c r="B69" s="105">
        <f>(((Number_of_nonSSO_supervisors*'BW Data'!E8)+(Number_of_SSO_supervisors*'BW Data'!E12))/(Max_Login_Time_All_Agents*60))*kbps*Bandwidth_Confidence_Factor</f>
        <v>2058.9226666666668</v>
      </c>
      <c r="C69" s="6" t="s">
        <v>7</v>
      </c>
      <c r="D69" s="89"/>
      <c r="F69" s="64"/>
      <c r="H69" s="64"/>
      <c r="I69" s="64"/>
    </row>
    <row r="70" spans="1:9" s="17" customFormat="1" ht="16.149999999999999" customHeight="1" thickBot="1" x14ac:dyDescent="0.3">
      <c r="A70" s="253" t="s">
        <v>193</v>
      </c>
      <c r="B70" s="107">
        <f>B66+B68+('BW Data'!E63)</f>
        <v>216118.99840000001</v>
      </c>
      <c r="C70" s="40" t="s">
        <v>7</v>
      </c>
      <c r="D70" s="41"/>
      <c r="F70" s="64"/>
      <c r="H70" s="65"/>
      <c r="I70" s="65"/>
    </row>
    <row r="71" spans="1:9" s="17" customFormat="1" ht="16.149999999999999" customHeight="1" thickBot="1" x14ac:dyDescent="0.3">
      <c r="A71" s="253" t="s">
        <v>194</v>
      </c>
      <c r="B71" s="107">
        <f>B67+B69+('BW Data'!E63)</f>
        <v>18008.039466666665</v>
      </c>
      <c r="C71" s="40" t="s">
        <v>7</v>
      </c>
      <c r="D71" s="41"/>
      <c r="F71" s="64"/>
      <c r="H71" s="65"/>
      <c r="I71" s="65"/>
    </row>
    <row r="72" spans="1:9" s="17" customFormat="1" ht="16.149999999999999" customHeight="1" x14ac:dyDescent="0.25">
      <c r="A72" s="91" t="s">
        <v>206</v>
      </c>
      <c r="B72" s="92"/>
      <c r="C72" s="91"/>
      <c r="D72" s="93"/>
      <c r="F72" s="64"/>
      <c r="H72" s="65"/>
      <c r="I72" s="65"/>
    </row>
    <row r="73" spans="1:9" s="17" customFormat="1" ht="12" customHeight="1" x14ac:dyDescent="0.2">
      <c r="A73" s="266" t="s">
        <v>195</v>
      </c>
      <c r="B73" s="191">
        <f>((Number_of_mc_agents*'BW Data'!E13*Number_of_Non_Voice_MRDs)/(Max_Login_Time_All_Agents*60))*kbps*Bandwidth_Confidence_Factor</f>
        <v>0</v>
      </c>
      <c r="C73" s="192" t="s">
        <v>7</v>
      </c>
      <c r="D73" s="193"/>
      <c r="F73" s="64"/>
      <c r="H73" s="65"/>
      <c r="I73" s="65"/>
    </row>
    <row r="74" spans="1:9" s="17" customFormat="1" ht="13.9" customHeight="1" thickBot="1" x14ac:dyDescent="0.25">
      <c r="A74" s="266" t="s">
        <v>196</v>
      </c>
      <c r="B74" s="191">
        <f>((Number_of_nonSSO_agents*'BW Data'!E14*Number_of_Non_Voice_MRDs)/(Max_Login_Time_All_Agents*60))*kbps*Bandwidth_Confidence_Factor</f>
        <v>0</v>
      </c>
      <c r="C74" s="192" t="s">
        <v>7</v>
      </c>
      <c r="D74" s="194"/>
      <c r="F74" s="64"/>
      <c r="H74" s="65"/>
      <c r="I74" s="65"/>
    </row>
    <row r="75" spans="1:9" s="17" customFormat="1" ht="16.149999999999999" customHeight="1" thickBot="1" x14ac:dyDescent="0.3">
      <c r="A75" s="253" t="s">
        <v>203</v>
      </c>
      <c r="B75" s="107">
        <f>B73</f>
        <v>0</v>
      </c>
      <c r="C75" s="40" t="s">
        <v>7</v>
      </c>
      <c r="D75" s="41"/>
      <c r="F75" s="64"/>
      <c r="H75" s="65"/>
      <c r="I75" s="65"/>
    </row>
    <row r="76" spans="1:9" s="17" customFormat="1" ht="16.149999999999999" customHeight="1" thickBot="1" x14ac:dyDescent="0.3">
      <c r="A76" s="253" t="s">
        <v>204</v>
      </c>
      <c r="B76" s="107">
        <f>B74</f>
        <v>0</v>
      </c>
      <c r="C76" s="40" t="s">
        <v>7</v>
      </c>
      <c r="D76" s="41"/>
      <c r="F76" s="64"/>
      <c r="H76" s="65"/>
      <c r="I76" s="65"/>
    </row>
    <row r="77" spans="1:9" ht="12.75" customHeight="1" x14ac:dyDescent="0.2">
      <c r="A77" s="2"/>
      <c r="C77" s="4"/>
      <c r="F77" s="64"/>
      <c r="H77" s="64"/>
      <c r="I77" s="64"/>
    </row>
    <row r="78" spans="1:9" ht="22.5" customHeight="1" thickBot="1" x14ac:dyDescent="0.3">
      <c r="A78" s="91" t="s">
        <v>137</v>
      </c>
      <c r="B78" s="92"/>
      <c r="C78" s="91"/>
      <c r="D78" s="93"/>
      <c r="F78" s="64"/>
    </row>
    <row r="79" spans="1:9" s="17" customFormat="1" ht="16.149999999999999" customHeight="1" thickBot="1" x14ac:dyDescent="0.3">
      <c r="A79" s="237" t="s">
        <v>82</v>
      </c>
      <c r="B79" s="238"/>
      <c r="C79" s="238"/>
      <c r="D79" s="239"/>
      <c r="H79" s="65"/>
      <c r="I79" s="65"/>
    </row>
    <row r="80" spans="1:9" ht="12.75" customHeight="1" x14ac:dyDescent="0.2">
      <c r="A80" s="219" t="s">
        <v>114</v>
      </c>
      <c r="B80" s="220"/>
      <c r="C80" s="220"/>
      <c r="D80" s="221"/>
      <c r="H80" s="64"/>
      <c r="I80" s="64"/>
    </row>
    <row r="81" spans="1:9" ht="12.75" customHeight="1" x14ac:dyDescent="0.2">
      <c r="A81" s="267" t="s">
        <v>85</v>
      </c>
      <c r="B81" s="23">
        <f>((('BW Data'!E18+('BW Data'!E19*Average_number_of_Skill_Groups_per_Supervisor))*Number_of_Supervisors)/Skill_Group_Refresh_Rate)*kbps*Bandwidth_Confidence_Factor_v9</f>
        <v>319.488</v>
      </c>
      <c r="C81" s="24" t="s">
        <v>7</v>
      </c>
      <c r="D81" s="25">
        <f>IF(B$107&gt;0,B81/B$107,0)</f>
        <v>2.3784394763442164E-2</v>
      </c>
      <c r="H81" s="64"/>
      <c r="I81" s="64"/>
    </row>
    <row r="82" spans="1:9" ht="12.75" customHeight="1" x14ac:dyDescent="0.2">
      <c r="A82" s="268" t="s">
        <v>87</v>
      </c>
      <c r="B82" s="8">
        <f>(IF(Agent_Task_Wrap_Up_Time&gt;0,Avg_agent_state_Changes_Per_Task_Wrap,Avg_Agent_State_Changes_Per_Task_NoWrap)*'BW Data'!E42*(Average_number_of_agents_per_Team/(Agent_Task_Wrap_Up_Time+Average_Task_Duration))*Number_of_Supervisors*kbps*Bandwidth_Confidence_Factor_v9)</f>
        <v>5.1590933333333338</v>
      </c>
      <c r="C82" s="6" t="s">
        <v>7</v>
      </c>
      <c r="D82" s="25">
        <f>IF(B$107&gt;0,B82/B$107,0)</f>
        <v>3.8407048922476815E-4</v>
      </c>
      <c r="H82" s="64"/>
      <c r="I82" s="64"/>
    </row>
    <row r="83" spans="1:9" ht="12.75" customHeight="1" x14ac:dyDescent="0.2">
      <c r="A83" s="268" t="s">
        <v>140</v>
      </c>
      <c r="B83" s="8">
        <f>IF(Number_of_Supervisors&gt;0,((Calls_Per_Second * Percentage_of_BargedCalls) * 'BW Data'!E43) * kbps * Bandwidth_Confidence_Factor_v9,0)</f>
        <v>285.22904347826091</v>
      </c>
      <c r="C83" s="6" t="s">
        <v>7</v>
      </c>
      <c r="D83" s="25">
        <f>IF(B$107&gt;0,B83/B$107,0)</f>
        <v>2.1233974885084779E-2</v>
      </c>
      <c r="H83" s="64"/>
      <c r="I83" s="64"/>
    </row>
    <row r="84" spans="1:9" ht="12.75" customHeight="1" x14ac:dyDescent="0.2">
      <c r="A84" s="268" t="s">
        <v>141</v>
      </c>
      <c r="B84" s="8">
        <f>IF(Number_of_Supervisors&gt;0,((Calls_Per_Second * Percentage_of_InterceptedCalls) * 'BW Data'!E44) * kbps * Bandwidth_Confidence_Factor_v9,0)</f>
        <v>90.127304347826097</v>
      </c>
      <c r="C84" s="6" t="s">
        <v>7</v>
      </c>
      <c r="D84" s="25">
        <f>IF(B$107&gt;0,B84/B$107,0)</f>
        <v>6.7095583733147827E-3</v>
      </c>
      <c r="H84" s="64"/>
      <c r="I84" s="64"/>
    </row>
    <row r="85" spans="1:9" ht="12.75" customHeight="1" x14ac:dyDescent="0.2">
      <c r="A85" s="268" t="s">
        <v>113</v>
      </c>
      <c r="B85" s="8">
        <f>IF(Number_of_Supervisors&gt;0,((Calls_Per_Second * Percentage_Calls_Silently_Monitored) * 'BW Data'!E41) * kbps * Bandwidth_Confidence_Factor_v9,0)</f>
        <v>362.32695652173919</v>
      </c>
      <c r="C85" s="6" t="s">
        <v>7</v>
      </c>
      <c r="D85" s="25">
        <f>IF(B$107&gt;0,B85/B$107,0)</f>
        <v>2.6973555712106842E-2</v>
      </c>
      <c r="F85" s="64"/>
      <c r="H85" s="64"/>
      <c r="I85" s="64"/>
    </row>
    <row r="86" spans="1:9" ht="12.75" customHeight="1" x14ac:dyDescent="0.2">
      <c r="A86" s="219" t="s">
        <v>115</v>
      </c>
      <c r="B86" s="220"/>
      <c r="C86" s="220"/>
      <c r="D86" s="221"/>
      <c r="F86" s="64"/>
      <c r="H86" s="64"/>
      <c r="I86" s="64"/>
    </row>
    <row r="87" spans="1:9" ht="12.75" customHeight="1" x14ac:dyDescent="0.2">
      <c r="A87" s="269" t="s">
        <v>28</v>
      </c>
      <c r="B87" s="8">
        <f>(((Calls_Per_Second*Percentage_of_Incoming_Straight_Calls) * 'BW Data'!E21) + ((Calls_Per_Second*Percentage_of_Outgoing_Straight_Calls) * 'BW Data'!E22)) * kbps * Bandwidth_Confidence_Factor_v9</f>
        <v>3031.7446956521735</v>
      </c>
      <c r="C87" s="6" t="s">
        <v>7</v>
      </c>
      <c r="D87" s="25">
        <f t="shared" ref="D87:D106" si="0">IF(B$107&gt;0,B87/B$107,0)</f>
        <v>0.22569928342649212</v>
      </c>
      <c r="F87" s="64"/>
      <c r="H87" s="64"/>
      <c r="I87" s="64"/>
    </row>
    <row r="88" spans="1:9" ht="12.75" customHeight="1" x14ac:dyDescent="0.2">
      <c r="A88" s="270" t="s">
        <v>152</v>
      </c>
      <c r="B88" s="143">
        <f>((Calls_Per_Second*Percentage_of_SingleStep_Transfer_Calls)*'BW Data'!E25*kbps*Bandwidth_Confidence_Factor_v9)</f>
        <v>2410.2406956521741</v>
      </c>
      <c r="C88" s="144" t="s">
        <v>7</v>
      </c>
      <c r="D88" s="145">
        <f t="shared" si="0"/>
        <v>0.17943120298823359</v>
      </c>
      <c r="F88" s="64"/>
      <c r="H88" s="64"/>
      <c r="I88" s="64"/>
    </row>
    <row r="89" spans="1:9" ht="12.75" customHeight="1" x14ac:dyDescent="0.2">
      <c r="A89" s="269" t="s">
        <v>26</v>
      </c>
      <c r="B89" s="8">
        <f>((Calls_Per_Second * Percentage_of_Consultative_Transfer_Calls) * 'BW Data'!E23) * kbps * Bandwidth_Confidence_Factor_v9</f>
        <v>1175.3853913043479</v>
      </c>
      <c r="C89" s="6" t="s">
        <v>7</v>
      </c>
      <c r="D89" s="25">
        <f t="shared" si="0"/>
        <v>8.7501972361921421E-2</v>
      </c>
      <c r="F89" s="64"/>
      <c r="H89" s="64"/>
      <c r="I89" s="64"/>
    </row>
    <row r="90" spans="1:9" ht="12.75" customHeight="1" x14ac:dyDescent="0.2">
      <c r="A90" s="269" t="s">
        <v>27</v>
      </c>
      <c r="B90" s="8">
        <f>((Calls_Per_Second* Percentage_of_Consultative_Conference_Calls) * 'BW Data'!E24) * kbps * Bandwidth_Confidence_Factor_v9</f>
        <v>1476.7095652173914</v>
      </c>
      <c r="C90" s="6" t="s">
        <v>7</v>
      </c>
      <c r="D90" s="25">
        <f t="shared" si="0"/>
        <v>0.10993415480419133</v>
      </c>
      <c r="F90" s="64"/>
      <c r="H90" s="64"/>
      <c r="I90" s="64"/>
    </row>
    <row r="91" spans="1:9" ht="12.75" customHeight="1" x14ac:dyDescent="0.2">
      <c r="A91" s="268" t="s">
        <v>93</v>
      </c>
      <c r="B91" s="8">
        <f>IF(Agent_Call_Wrap_Up_Time&gt;0,Calls_Per_Second*'BW Data'!E26 * kbps * Bandwidth_Confidence_Factor_v9,0)</f>
        <v>2069.7808695652175</v>
      </c>
      <c r="C91" s="87" t="s">
        <v>7</v>
      </c>
      <c r="D91" s="25">
        <f t="shared" si="0"/>
        <v>0.15408555337151858</v>
      </c>
      <c r="F91" s="64"/>
      <c r="H91" s="64"/>
      <c r="I91" s="64"/>
    </row>
    <row r="92" spans="1:9" ht="12.75" customHeight="1" x14ac:dyDescent="0.2">
      <c r="A92" s="268" t="s">
        <v>109</v>
      </c>
      <c r="B92" s="8">
        <f>IF(Number_of_Configured_ECC_variables&gt;0,(Sum_of_all_ECC_Variable_Values+Sum_of_all_ECC_Variable_Names+(Number_of_Configured_ECC_variables*'BW Data'!E36))*Avg_Number_Dialog_Events_Per_IncomingCall*Percentage_of_Incoming_Straight_Calls*Calls_Per_Second*kbps*Bandwidth_Confidence_Factor_v9,0)</f>
        <v>318.64695652173913</v>
      </c>
      <c r="C92" s="6" t="s">
        <v>7</v>
      </c>
      <c r="D92" s="25">
        <f t="shared" si="0"/>
        <v>2.3721782990542478E-2</v>
      </c>
      <c r="F92" s="64"/>
      <c r="H92" s="64"/>
      <c r="I92" s="64"/>
    </row>
    <row r="93" spans="1:9" ht="12.75" customHeight="1" x14ac:dyDescent="0.2">
      <c r="A93" s="268" t="s">
        <v>116</v>
      </c>
      <c r="B93" s="8">
        <f>IF(Number_of_Configured_ECC_variables&gt;0,(Sum_of_all_ECC_Variable_Values+Sum_of_all_ECC_Variable_Names+(Number_of_Configured_ECC_variables*'BW Data'!E36))*Avg_Number_Dialog_Events_Per_OutCall*Percentage_of_Outgoing_Straight_Calls*Calls_Per_Second*kbps*Bandwidth_Confidence_Factor_v9,0)</f>
        <v>849.72521739130423</v>
      </c>
      <c r="C93" s="6" t="s">
        <v>7</v>
      </c>
      <c r="D93" s="25">
        <f t="shared" si="0"/>
        <v>6.3258087974779928E-2</v>
      </c>
      <c r="F93" s="64"/>
      <c r="H93" s="64"/>
      <c r="I93" s="64"/>
    </row>
    <row r="94" spans="1:9" ht="12.75" customHeight="1" x14ac:dyDescent="0.2">
      <c r="A94" s="268" t="s">
        <v>110</v>
      </c>
      <c r="B94" s="8">
        <f>IF(Number_of_Configured_ECC_variables&gt;0,(Sum_of_all_ECC_Variable_Values+Sum_of_all_ECC_Variable_Names+(Number_of_Configured_ECC_variables*'BW Data'!E36))*Avg_Number_Dialog_Events_Per_ConfCall*Percentage_of_Consultative_Conference_Calls*Calls_Per_Second*kbps*Bandwidth_Confidence_Factor_v9,0)</f>
        <v>531.07826086956516</v>
      </c>
      <c r="C94" s="6" t="s">
        <v>7</v>
      </c>
      <c r="D94" s="25">
        <f t="shared" si="0"/>
        <v>3.9536304984237457E-2</v>
      </c>
      <c r="F94" s="64"/>
      <c r="H94" s="64"/>
      <c r="I94" s="64"/>
    </row>
    <row r="95" spans="1:9" ht="12.75" customHeight="1" x14ac:dyDescent="0.2">
      <c r="A95" s="268" t="s">
        <v>111</v>
      </c>
      <c r="B95" s="8">
        <f>IF(Number_of_Configured_ECC_variables&gt;0,(Sum_of_all_ECC_Variable_Values+Sum_of_all_ECC_Variable_Names+(Number_of_Configured_ECC_variables*'BW Data'!E36))*Avg_Number_Dialog_Events_Per_XferCall*Percentage_of_Consultative_Transfer_Calls*Calls_Per_Second*kbps*Bandwidth_Confidence_Factor_v9,0)</f>
        <v>424.86260869565211</v>
      </c>
      <c r="C95" s="6" t="s">
        <v>7</v>
      </c>
      <c r="D95" s="25">
        <f t="shared" si="0"/>
        <v>3.1629043987389964E-2</v>
      </c>
      <c r="F95" s="64"/>
      <c r="H95" s="64"/>
      <c r="I95" s="64"/>
    </row>
    <row r="96" spans="1:9" ht="12" customHeight="1" x14ac:dyDescent="0.2">
      <c r="A96" s="268" t="s">
        <v>105</v>
      </c>
      <c r="B96" s="8">
        <f>(Sum_of_all_Call_Variable_Values+(Number_of_Configured_Call_variables*'BW Data'!E39))*Avg_Number_Dialog_Events_Per_IncomingCall*Percentage_of_Incoming_Straight_Calls*Calls_Per_Second*kbps*Bandwidth_Confidence_Factor_v9</f>
        <v>12.208695652173912</v>
      </c>
      <c r="C96" s="6" t="s">
        <v>7</v>
      </c>
      <c r="D96" s="25">
        <f t="shared" si="0"/>
        <v>9.0888057435028645E-4</v>
      </c>
      <c r="F96" s="64"/>
      <c r="H96" s="64"/>
      <c r="I96" s="64"/>
    </row>
    <row r="97" spans="1:9" ht="12.75" customHeight="1" x14ac:dyDescent="0.2">
      <c r="A97" s="268" t="s">
        <v>106</v>
      </c>
      <c r="B97" s="8">
        <f>(Sum_of_all_Call_Variable_Values+(Number_of_Configured_Call_variables*'BW Data'!E39))*Avg_Number_Dialog_Events_Per_OutCall*Percentage_of_Outgoing_Straight_Calls*Calls_Per_Second*kbps*Bandwidth_Confidence_Factor_v9</f>
        <v>32.556521739130439</v>
      </c>
      <c r="C97" s="6" t="s">
        <v>7</v>
      </c>
      <c r="D97" s="25">
        <f t="shared" si="0"/>
        <v>2.4236815316007643E-3</v>
      </c>
      <c r="F97" s="64"/>
      <c r="H97" s="64"/>
      <c r="I97" s="64"/>
    </row>
    <row r="98" spans="1:9" ht="12.75" customHeight="1" x14ac:dyDescent="0.2">
      <c r="A98" s="268" t="s">
        <v>107</v>
      </c>
      <c r="B98" s="8">
        <f>(Sum_of_all_Call_Variable_Values_v901+(Number_of_Configured_Call_variables*'BW Data'!E39))*Avg_Number_Dialog_Events_Per_ConfCall*Percentage_of_Consultative_Conference_Calls*Calls_Per_Second*kbps*Bandwidth_Confidence_Factor_v9</f>
        <v>20.347826086956523</v>
      </c>
      <c r="C98" s="6" t="s">
        <v>7</v>
      </c>
      <c r="D98" s="25">
        <f t="shared" si="0"/>
        <v>1.5148009572504776E-3</v>
      </c>
      <c r="F98" s="64"/>
      <c r="H98" s="64"/>
      <c r="I98" s="64"/>
    </row>
    <row r="99" spans="1:9" ht="12.75" customHeight="1" x14ac:dyDescent="0.2">
      <c r="A99" s="268" t="s">
        <v>108</v>
      </c>
      <c r="B99" s="8">
        <f>(Sum_of_all_Call_Variable_Values+(Number_of_Configured_Call_variables*'BW Data'!E39))*Avg_Number_Dialog_Events_Per_XferCall*Percentage_of_Consultative_Transfer_Calls*Calls_Per_Second*kbps*Bandwidth_Confidence_Factor_v9</f>
        <v>16.278260869565219</v>
      </c>
      <c r="C99" s="6" t="s">
        <v>7</v>
      </c>
      <c r="D99" s="25">
        <f t="shared" si="0"/>
        <v>1.2118407658003821E-3</v>
      </c>
      <c r="F99" s="64"/>
      <c r="H99" s="64"/>
      <c r="I99" s="64"/>
    </row>
    <row r="100" spans="1:9" ht="12.75" customHeight="1" x14ac:dyDescent="0.2">
      <c r="A100" s="271" t="s">
        <v>208</v>
      </c>
      <c r="B100" s="195">
        <f>((Tasks_Per_Second*Percentage_of_Incoming_Straight_Tasks) * 'BW Data'!E28) * kbps * Bandwidth_Confidence_Factor</f>
        <v>7.7514666666666676E-2</v>
      </c>
      <c r="C100" s="192" t="s">
        <v>7</v>
      </c>
      <c r="D100" s="196">
        <f t="shared" si="0"/>
        <v>5.7706061947761165E-6</v>
      </c>
      <c r="F100" s="64"/>
      <c r="H100" s="64"/>
      <c r="I100" s="64"/>
    </row>
    <row r="101" spans="1:9" ht="12.75" customHeight="1" x14ac:dyDescent="0.2">
      <c r="A101" s="272" t="s">
        <v>209</v>
      </c>
      <c r="B101" s="197">
        <f>((Tasks_Per_Second*Percentage_of_Transferred_Tasks)*'BW Data'!E29*kbps*Bandwidth_Confidence_Factor)</f>
        <v>0.15735142222222223</v>
      </c>
      <c r="C101" s="198" t="s">
        <v>7</v>
      </c>
      <c r="D101" s="199">
        <f t="shared" si="0"/>
        <v>1.1714081100768728E-5</v>
      </c>
      <c r="F101" s="64"/>
      <c r="H101" s="64"/>
      <c r="I101" s="64"/>
    </row>
    <row r="102" spans="1:9" ht="12.75" customHeight="1" x14ac:dyDescent="0.2">
      <c r="A102" s="271" t="s">
        <v>210</v>
      </c>
      <c r="B102" s="195">
        <f>((Tasks_Per_Second * Percentage_of_Interrupted_Tasks) * 'BW Data'!E32) * kbps * Bandwidth_Confidence_Factor</f>
        <v>0.42451644444444442</v>
      </c>
      <c r="C102" s="192" t="s">
        <v>7</v>
      </c>
      <c r="D102" s="196">
        <f t="shared" si="0"/>
        <v>3.1603273669870323E-5</v>
      </c>
      <c r="F102" s="64"/>
      <c r="H102" s="64"/>
      <c r="I102" s="64"/>
    </row>
    <row r="103" spans="1:9" ht="12.75" customHeight="1" x14ac:dyDescent="0.2">
      <c r="A103" s="271" t="s">
        <v>211</v>
      </c>
      <c r="B103" s="195">
        <f>(Tasks_Per_Second*Percentage_of_Paused_and_Resumed_Tasks)*('BW Data'!E30+'BW Data'!E31)*kbps*Bandwidth_Confidence_Factor</f>
        <v>0.11776555555555555</v>
      </c>
      <c r="C103" s="192" t="s">
        <v>7</v>
      </c>
      <c r="D103" s="196">
        <f t="shared" si="0"/>
        <v>8.7670975525509974E-6</v>
      </c>
      <c r="F103" s="64"/>
      <c r="H103" s="64"/>
      <c r="I103" s="64"/>
    </row>
    <row r="104" spans="1:9" ht="12.75" customHeight="1" thickBot="1" x14ac:dyDescent="0.25">
      <c r="A104" s="273" t="s">
        <v>214</v>
      </c>
      <c r="B104" s="195">
        <f>IF(Agent_Task_Wrap_Up_Time&gt;0,Tasks_Per_Second*'BW Data'!E33*kbps*Bandwidth_Confidence_Factor,0)</f>
        <v>0</v>
      </c>
      <c r="C104" s="200" t="s">
        <v>7</v>
      </c>
      <c r="D104" s="196">
        <f t="shared" si="0"/>
        <v>0</v>
      </c>
      <c r="F104" s="64"/>
      <c r="H104" s="64"/>
      <c r="I104" s="64"/>
    </row>
    <row r="105" spans="1:9" ht="12.75" customHeight="1" thickBot="1" x14ac:dyDescent="0.25">
      <c r="A105" s="274" t="s">
        <v>62</v>
      </c>
      <c r="B105" s="32">
        <f>SUM(B87:B104)</f>
        <v>12370.342713306278</v>
      </c>
      <c r="C105" s="33" t="s">
        <v>7</v>
      </c>
      <c r="D105" s="26">
        <f t="shared" si="0"/>
        <v>0.92091444577682657</v>
      </c>
      <c r="F105" s="64"/>
      <c r="H105" s="64"/>
      <c r="I105" s="64"/>
    </row>
    <row r="106" spans="1:9" ht="12.75" customHeight="1" thickBot="1" x14ac:dyDescent="0.25">
      <c r="A106" s="274" t="s">
        <v>63</v>
      </c>
      <c r="B106" s="32">
        <f>SUM(B81:B85)</f>
        <v>1062.3303976811596</v>
      </c>
      <c r="C106" s="33" t="s">
        <v>7</v>
      </c>
      <c r="D106" s="26">
        <f t="shared" si="0"/>
        <v>7.9085554223173343E-2</v>
      </c>
      <c r="F106" s="64"/>
      <c r="H106" s="64"/>
      <c r="I106" s="64"/>
    </row>
    <row r="107" spans="1:9" s="17" customFormat="1" ht="16.149999999999999" customHeight="1" thickBot="1" x14ac:dyDescent="0.3">
      <c r="A107" s="253" t="s">
        <v>64</v>
      </c>
      <c r="B107" s="39">
        <f>SUM(B105:B106)</f>
        <v>13432.673110987438</v>
      </c>
      <c r="C107" s="40" t="s">
        <v>7</v>
      </c>
      <c r="D107" s="41">
        <f>SUM(D81:D99)</f>
        <v>0.99994214494148204</v>
      </c>
      <c r="F107" s="64"/>
      <c r="H107" s="65"/>
      <c r="I107" s="65"/>
    </row>
    <row r="108" spans="1:9" ht="12.75" customHeight="1" thickBot="1" x14ac:dyDescent="0.25">
      <c r="A108" s="274" t="s">
        <v>94</v>
      </c>
      <c r="B108" s="32">
        <f>IF(Number_of_Agents&gt;0,B105/Number_of_Agents,0)</f>
        <v>6.8724126185034873</v>
      </c>
      <c r="C108" s="33" t="s">
        <v>7</v>
      </c>
      <c r="D108" s="26"/>
      <c r="H108" s="64"/>
      <c r="I108" s="64"/>
    </row>
    <row r="109" spans="1:9" ht="12.75" customHeight="1" thickBot="1" x14ac:dyDescent="0.25">
      <c r="A109" s="274" t="s">
        <v>95</v>
      </c>
      <c r="B109" s="32">
        <f>IF(Number_of_Supervisors&gt;0,B106/Number_of_Supervisors,0)</f>
        <v>5.3116519884057984</v>
      </c>
      <c r="C109" s="33" t="s">
        <v>7</v>
      </c>
      <c r="D109" s="26"/>
      <c r="H109" s="64"/>
      <c r="I109" s="64"/>
    </row>
    <row r="110" spans="1:9" ht="12.75" customHeight="1" x14ac:dyDescent="0.2"/>
    <row r="111" spans="1:9" ht="22.5" customHeight="1" thickBot="1" x14ac:dyDescent="0.3">
      <c r="A111" s="91" t="s">
        <v>138</v>
      </c>
      <c r="B111" s="92"/>
      <c r="C111" s="91"/>
      <c r="D111" s="93"/>
    </row>
    <row r="112" spans="1:9" s="17" customFormat="1" ht="16.149999999999999" customHeight="1" thickBot="1" x14ac:dyDescent="0.3">
      <c r="A112" s="237" t="s">
        <v>82</v>
      </c>
      <c r="B112" s="238"/>
      <c r="C112" s="238"/>
      <c r="D112" s="239"/>
      <c r="H112" s="65"/>
      <c r="I112" s="65"/>
    </row>
    <row r="113" spans="1:9" ht="12.75" customHeight="1" x14ac:dyDescent="0.2">
      <c r="A113" s="219" t="s">
        <v>114</v>
      </c>
      <c r="B113" s="220"/>
      <c r="C113" s="220"/>
      <c r="D113" s="221"/>
      <c r="H113" s="64"/>
      <c r="I113" s="64"/>
    </row>
    <row r="114" spans="1:9" ht="12.75" customHeight="1" x14ac:dyDescent="0.2">
      <c r="A114" s="267" t="s">
        <v>139</v>
      </c>
      <c r="B114" s="23">
        <f>((Number_of_Supervisors*'BW Data'!F7)/(Max_Login_Time_All_Agents*60))*kbps*Bandwidth_Confidence_Factor_v91</f>
        <v>2051.8229333333334</v>
      </c>
      <c r="C114" s="24" t="s">
        <v>7</v>
      </c>
      <c r="D114" s="25">
        <f>IF(B$142&gt;0,B114/B$142,0)</f>
        <v>0.2948303911330854</v>
      </c>
      <c r="H114" s="64"/>
      <c r="I114" s="64"/>
    </row>
    <row r="115" spans="1:9" ht="12.75" customHeight="1" x14ac:dyDescent="0.2">
      <c r="A115" s="267" t="s">
        <v>85</v>
      </c>
      <c r="B115" s="23">
        <f>(('BW Data'!F19*Number_of_Skill_Groups_PG)/Skill_Group_Refresh_Rate_v91)*kbps*Bandwidth_Confidence_Factor_v91</f>
        <v>2237.04</v>
      </c>
      <c r="C115" s="24" t="s">
        <v>7</v>
      </c>
      <c r="D115" s="25">
        <f t="shared" ref="D115:D119" si="1">IF(B$142&gt;0,B115/B$142,0)</f>
        <v>0.32144458835386702</v>
      </c>
      <c r="H115" s="64"/>
      <c r="I115" s="64"/>
    </row>
    <row r="116" spans="1:9" ht="12.75" customHeight="1" x14ac:dyDescent="0.2">
      <c r="A116" s="268" t="s">
        <v>87</v>
      </c>
      <c r="B116" s="23">
        <f>(IF(Agent_Call_Wrap_Up_Time&gt;0,Avg_Agent_State_Changes_Per_Call_Wrap,Avg_Agent_State_Changes_Per_Call_NoWrap)*'BW Data'!F42*Calls_Per_Second*kbps*Bandwidth_Confidence_Factor_v91)</f>
        <v>647.87478260869568</v>
      </c>
      <c r="C116" s="6" t="s">
        <v>7</v>
      </c>
      <c r="D116" s="25">
        <f t="shared" si="1"/>
        <v>9.3094375961316422E-2</v>
      </c>
      <c r="H116" s="64"/>
      <c r="I116" s="64"/>
    </row>
    <row r="117" spans="1:9" ht="12.75" customHeight="1" x14ac:dyDescent="0.2">
      <c r="A117" s="268" t="s">
        <v>140</v>
      </c>
      <c r="B117" s="23">
        <f>IF(Number_of_Supervisors&gt;0,((Calls_Per_Second* Percentage_of_BargedCalls) * 'BW Data'!F43) * kbps * Bandwidth_Confidence_Factor_v91,0)</f>
        <v>49.431652173913051</v>
      </c>
      <c r="C117" s="6" t="s">
        <v>7</v>
      </c>
      <c r="D117" s="25">
        <f t="shared" si="1"/>
        <v>7.1029293551724678E-3</v>
      </c>
      <c r="H117" s="64"/>
      <c r="I117" s="64"/>
    </row>
    <row r="118" spans="1:9" ht="12.75" customHeight="1" x14ac:dyDescent="0.2">
      <c r="A118" s="268" t="s">
        <v>141</v>
      </c>
      <c r="B118" s="23">
        <f>IF(Number_of_Supervisors&gt;0,((Calls_Per_Second* Percentage_of_InterceptedCalls) * 'BW Data'!F44) * kbps * Bandwidth_Confidence_Factor_v91,0)</f>
        <v>6.1857391304347829</v>
      </c>
      <c r="C118" s="6" t="s">
        <v>7</v>
      </c>
      <c r="D118" s="25">
        <f t="shared" si="1"/>
        <v>8.8884077551005625E-4</v>
      </c>
      <c r="H118" s="64"/>
      <c r="I118" s="64"/>
    </row>
    <row r="119" spans="1:9" ht="12.75" customHeight="1" x14ac:dyDescent="0.2">
      <c r="A119" s="268" t="s">
        <v>113</v>
      </c>
      <c r="B119" s="8">
        <f>IF(Number_of_Supervisors&gt;0,((Calls_Per_Second* Percentage_Calls_Silently_Monitored) * 'BW Data'!F41) * kbps * Bandwidth_Confidence_Factor_v91,0)</f>
        <v>44.168347826086965</v>
      </c>
      <c r="C119" s="6" t="s">
        <v>7</v>
      </c>
      <c r="D119" s="25">
        <f t="shared" si="1"/>
        <v>6.3466350110981222E-3</v>
      </c>
      <c r="H119" s="64"/>
      <c r="I119" s="64"/>
    </row>
    <row r="120" spans="1:9" ht="12.75" customHeight="1" x14ac:dyDescent="0.2">
      <c r="A120" s="219" t="s">
        <v>115</v>
      </c>
      <c r="B120" s="220"/>
      <c r="C120" s="220"/>
      <c r="D120" s="221"/>
      <c r="H120" s="64"/>
      <c r="I120" s="64"/>
    </row>
    <row r="121" spans="1:9" ht="12.75" customHeight="1" x14ac:dyDescent="0.2">
      <c r="A121" s="269" t="s">
        <v>28</v>
      </c>
      <c r="B121" s="8">
        <f>(((Calls_Per_Second*Percentage_of_Incoming_Straight_Calls) * 'BW Data'!F21) + ((Calls_Per_Second*Percentage_of_Outgoing_Straight_Calls) * 'BW Data'!F22)) * kbps * Bandwidth_Confidence_Factor_v91</f>
        <v>632.04417391304344</v>
      </c>
      <c r="C121" s="6" t="s">
        <v>7</v>
      </c>
      <c r="D121" s="25">
        <f t="shared" ref="D121:D134" si="2">IF(B$142&gt;0,B121/B$142,0)</f>
        <v>9.0819645292412376E-2</v>
      </c>
      <c r="H121" s="64"/>
      <c r="I121" s="64"/>
    </row>
    <row r="122" spans="1:9" ht="12.75" hidden="1" customHeight="1" x14ac:dyDescent="0.2">
      <c r="A122" s="275" t="s">
        <v>83</v>
      </c>
      <c r="B122" s="79">
        <v>0</v>
      </c>
      <c r="C122" s="80" t="s">
        <v>7</v>
      </c>
      <c r="D122" s="25">
        <f t="shared" si="2"/>
        <v>0</v>
      </c>
      <c r="H122" s="64"/>
      <c r="I122" s="64"/>
    </row>
    <row r="123" spans="1:9" ht="12.75" customHeight="1" x14ac:dyDescent="0.2">
      <c r="A123" s="269" t="s">
        <v>26</v>
      </c>
      <c r="B123" s="8">
        <f>((Calls_Per_Second* Percentage_of_Consultative_Transfer_Calls) * 'BW Data'!F23) * kbps * Bandwidth_Confidence_Factor_v91</f>
        <v>142.66539130434785</v>
      </c>
      <c r="C123" s="6" t="s">
        <v>7</v>
      </c>
      <c r="D123" s="25">
        <f t="shared" si="2"/>
        <v>2.0499864991314173E-2</v>
      </c>
      <c r="H123" s="64"/>
      <c r="I123" s="64"/>
    </row>
    <row r="124" spans="1:9" ht="12.75" customHeight="1" x14ac:dyDescent="0.2">
      <c r="A124" s="269" t="s">
        <v>27</v>
      </c>
      <c r="B124" s="8">
        <f>((Calls_Per_Second * Percentage_of_Consultative_Conference_Calls) * 'BW Data'!F24) * kbps * Bandwidth_Confidence_Factor_v91</f>
        <v>199.77495652173914</v>
      </c>
      <c r="C124" s="6" t="s">
        <v>7</v>
      </c>
      <c r="D124" s="25">
        <f t="shared" si="2"/>
        <v>2.8706048466966224E-2</v>
      </c>
      <c r="H124" s="64"/>
      <c r="I124" s="64"/>
    </row>
    <row r="125" spans="1:9" ht="12.75" customHeight="1" x14ac:dyDescent="0.2">
      <c r="A125" s="268" t="s">
        <v>134</v>
      </c>
      <c r="B125" s="8">
        <f>((Calls_Per_Second * Percentage_of_SingleStep_Transfer_Calls) * 'BW Data'!F25) * kbps * Bandwidth_Confidence_Factor_v91</f>
        <v>357.87756521739135</v>
      </c>
      <c r="C125" s="87" t="s">
        <v>7</v>
      </c>
      <c r="D125" s="25">
        <f t="shared" si="2"/>
        <v>5.1424116972601547E-2</v>
      </c>
      <c r="H125" s="64"/>
      <c r="I125" s="64"/>
    </row>
    <row r="126" spans="1:9" ht="12.75" customHeight="1" x14ac:dyDescent="0.2">
      <c r="A126" s="268" t="s">
        <v>93</v>
      </c>
      <c r="B126" s="8">
        <f>IF(Agent_Call_Wrap_Up_Time&gt;0,Calls_Per_Second*'BW Data'!F26 * kbps * Bandwidth_Confidence_Factor_v91,0)</f>
        <v>166.71652173913043</v>
      </c>
      <c r="C126" s="87" t="s">
        <v>7</v>
      </c>
      <c r="D126" s="25">
        <f t="shared" si="2"/>
        <v>2.395581826977761E-2</v>
      </c>
      <c r="H126" s="64"/>
      <c r="I126" s="64"/>
    </row>
    <row r="127" spans="1:9" ht="12.75" customHeight="1" x14ac:dyDescent="0.2">
      <c r="A127" s="268" t="s">
        <v>109</v>
      </c>
      <c r="B127" s="8">
        <f>IF(Number_of_Configured_ECC_variables&gt;0,(Sum_of_all_ECC_Variable_Values+Sum_of_all_ECC_Variable_Names)*Percentage_of_Incoming_Straight_Calls*Calls_Per_Second*kbps*Bandwidth_Confidence_Factor_v91,0)</f>
        <v>106.21565217391303</v>
      </c>
      <c r="C127" s="6" t="s">
        <v>7</v>
      </c>
      <c r="D127" s="25">
        <f t="shared" si="2"/>
        <v>1.526233173737662E-2</v>
      </c>
      <c r="H127" s="64"/>
      <c r="I127" s="64"/>
    </row>
    <row r="128" spans="1:9" ht="12.75" customHeight="1" x14ac:dyDescent="0.2">
      <c r="A128" s="268" t="s">
        <v>116</v>
      </c>
      <c r="B128" s="8">
        <f>IF(Number_of_Configured_ECC_variables&gt;0,(Sum_of_all_ECC_Variable_Values+Sum_of_all_ECC_Variable_Names)*Percentage_of_Outgoing_Straight_Calls*Calls_Per_Second*kbps*Bandwidth_Confidence_Factor_v91,0)</f>
        <v>106.21565217391303</v>
      </c>
      <c r="C128" s="6" t="s">
        <v>7</v>
      </c>
      <c r="D128" s="25">
        <f t="shared" si="2"/>
        <v>1.526233173737662E-2</v>
      </c>
      <c r="H128" s="64"/>
      <c r="I128" s="64"/>
    </row>
    <row r="129" spans="1:9" ht="12.75" customHeight="1" x14ac:dyDescent="0.2">
      <c r="A129" s="268" t="s">
        <v>110</v>
      </c>
      <c r="B129" s="8">
        <f>IF(Number_of_Configured_ECC_variables&gt;0,(Sum_of_all_ECC_Variable_Values+Sum_of_all_ECC_Variable_Names)*Percentage_of_Consultative_Conference_Calls*Calls_Per_Second*kbps*Bandwidth_Confidence_Factor_v91,0)</f>
        <v>35.405217391304348</v>
      </c>
      <c r="C129" s="6" t="s">
        <v>7</v>
      </c>
      <c r="D129" s="25">
        <f t="shared" si="2"/>
        <v>5.0874439124588746E-3</v>
      </c>
      <c r="H129" s="64"/>
      <c r="I129" s="64"/>
    </row>
    <row r="130" spans="1:9" ht="12.75" customHeight="1" x14ac:dyDescent="0.2">
      <c r="A130" s="268" t="s">
        <v>111</v>
      </c>
      <c r="B130" s="8">
        <f>IF(Number_of_Configured_ECC_variables&gt;0,(Sum_of_all_ECC_Variable_Values+Sum_of_all_ECC_Variable_Names)*Percentage_of_Consultative_Transfer_Calls*Calls_Per_Second*kbps*Bandwidth_Confidence_Factor_v91,0)</f>
        <v>35.405217391304348</v>
      </c>
      <c r="C130" s="6" t="s">
        <v>7</v>
      </c>
      <c r="D130" s="25">
        <f t="shared" si="2"/>
        <v>5.0874439124588746E-3</v>
      </c>
      <c r="H130" s="64"/>
      <c r="I130" s="64"/>
    </row>
    <row r="131" spans="1:9" ht="12" customHeight="1" x14ac:dyDescent="0.2">
      <c r="A131" s="268" t="s">
        <v>105</v>
      </c>
      <c r="B131" s="8">
        <f>IF(Number_of_Configured_Call_variables&gt;0,(Sum_of_all_Call_Variable_Values+Bytes_Per_Call_Variable_Value)*Percentage_of_Incoming_Straight_Calls*Calls_Per_Second*kbps*Bandwidth_Confidence_Factor_v91,0)</f>
        <v>4.6393043478260862</v>
      </c>
      <c r="C131" s="6" t="s">
        <v>7</v>
      </c>
      <c r="D131" s="25">
        <f t="shared" si="2"/>
        <v>6.6663058163254202E-4</v>
      </c>
      <c r="H131" s="64"/>
      <c r="I131" s="64"/>
    </row>
    <row r="132" spans="1:9" ht="12.75" customHeight="1" x14ac:dyDescent="0.2">
      <c r="A132" s="268" t="s">
        <v>106</v>
      </c>
      <c r="B132" s="8">
        <f>IF(Number_of_Configured_Call_variables&gt;0,(Sum_of_all_Call_Variable_Values+Bytes_Per_Call_Variable_Value)*Percentage_of_Outgoing_Straight_Calls*Calls_Per_Second*kbps*Bandwidth_Confidence_Factor_v91,0)</f>
        <v>4.6393043478260862</v>
      </c>
      <c r="C132" s="6" t="s">
        <v>7</v>
      </c>
      <c r="D132" s="25">
        <f t="shared" si="2"/>
        <v>6.6663058163254202E-4</v>
      </c>
      <c r="H132" s="64"/>
      <c r="I132" s="64"/>
    </row>
    <row r="133" spans="1:9" ht="12.75" customHeight="1" x14ac:dyDescent="0.2">
      <c r="A133" s="268" t="s">
        <v>107</v>
      </c>
      <c r="B133" s="8">
        <f>IF(Number_of_Configured_Call_variables&gt;0,(Sum_of_all_Call_Variable_Values+Bytes_Per_Call_Variable_Value)*Percentage_of_Consultative_Conference_Calls*Calls_Per_Second*kbps*Bandwidth_Confidence_Factor_v91,0)</f>
        <v>1.5464347826086957</v>
      </c>
      <c r="C133" s="6" t="s">
        <v>7</v>
      </c>
      <c r="D133" s="25">
        <f t="shared" si="2"/>
        <v>2.2221019387751406E-4</v>
      </c>
      <c r="H133" s="64"/>
      <c r="I133" s="64"/>
    </row>
    <row r="134" spans="1:9" ht="12.75" customHeight="1" x14ac:dyDescent="0.2">
      <c r="A134" s="268" t="s">
        <v>108</v>
      </c>
      <c r="B134" s="8">
        <f>IF(Number_of_Configured_Call_variables&gt;0,(Sum_of_all_Call_Variable_Values+Bytes_Per_Call_Variable_Value)*Percentage_of_Consultative_Transfer_Calls*Calls_Per_Second*kbps*Bandwidth_Confidence_Factor_v91,0)</f>
        <v>1.5464347826086957</v>
      </c>
      <c r="C134" s="6" t="s">
        <v>7</v>
      </c>
      <c r="D134" s="25">
        <f t="shared" si="2"/>
        <v>2.2221019387751406E-4</v>
      </c>
      <c r="H134" s="64"/>
      <c r="I134" s="64"/>
    </row>
    <row r="135" spans="1:9" ht="12.75" customHeight="1" x14ac:dyDescent="0.2">
      <c r="A135" s="271" t="s">
        <v>208</v>
      </c>
      <c r="B135" s="195">
        <f>((Tasks_Per_Second*Percentage_of_Incoming_Straight_Tasks) * 'BW Data'!F28) * kbps * Bandwidth_Confidence_Factor</f>
        <v>1.4929777777777778E-2</v>
      </c>
      <c r="C135" s="192" t="s">
        <v>7</v>
      </c>
      <c r="D135" s="196">
        <f>IF(B$107&gt;0,B135/B$107,0)</f>
        <v>1.1114524752013628E-6</v>
      </c>
      <c r="H135" s="64"/>
      <c r="I135" s="64"/>
    </row>
    <row r="136" spans="1:9" ht="12.75" customHeight="1" x14ac:dyDescent="0.2">
      <c r="A136" s="272" t="s">
        <v>209</v>
      </c>
      <c r="B136" s="197">
        <f>((Tasks_Per_Second*Percentage_of_Transferred_Tasks)*'BW Data'!F29*kbps*Bandwidth_Confidence_Factor)</f>
        <v>3.4725888888888889E-2</v>
      </c>
      <c r="C136" s="198" t="s">
        <v>7</v>
      </c>
      <c r="D136" s="199">
        <f>IF(B$107&gt;0,B136/B$107,0)</f>
        <v>2.5851808200770086E-6</v>
      </c>
      <c r="H136" s="64"/>
      <c r="I136" s="64"/>
    </row>
    <row r="137" spans="1:9" ht="12.75" customHeight="1" x14ac:dyDescent="0.2">
      <c r="A137" s="271" t="s">
        <v>210</v>
      </c>
      <c r="B137" s="195">
        <f>((Tasks_Per_Second * Percentage_of_Interrupted_Tasks) * 'BW Data'!F32) * kbps * Bandwidth_Confidence_Factor</f>
        <v>5.1243111111111114E-2</v>
      </c>
      <c r="C137" s="192" t="s">
        <v>7</v>
      </c>
      <c r="D137" s="196">
        <f>IF(B$107&gt;0,B137/B$107,0)</f>
        <v>3.8148111465018915E-6</v>
      </c>
      <c r="H137" s="64"/>
      <c r="I137" s="64"/>
    </row>
    <row r="138" spans="1:9" ht="12.75" customHeight="1" x14ac:dyDescent="0.2">
      <c r="A138" s="271" t="s">
        <v>211</v>
      </c>
      <c r="B138" s="195">
        <f>(Tasks_Per_Second*Percentage_of_Paused_and_Resumed_Tasks)*('BW Data'!F30+'BW Data'!F31)*kbps*Bandwidth_Confidence_Factor</f>
        <v>1.7033466666666667E-2</v>
      </c>
      <c r="C138" s="192" t="s">
        <v>7</v>
      </c>
      <c r="D138" s="196">
        <f>IF(B$107&gt;0,B138/B$107,0)</f>
        <v>1.2680623228100378E-6</v>
      </c>
      <c r="H138" s="64"/>
      <c r="I138" s="64"/>
    </row>
    <row r="139" spans="1:9" ht="12.75" customHeight="1" thickBot="1" x14ac:dyDescent="0.25">
      <c r="A139" s="273" t="s">
        <v>214</v>
      </c>
      <c r="B139" s="195">
        <f>IF(Agent_Task_Wrap_Up_Time&gt;0,Tasks_Per_Second*'BW Data'!F33*kbps*Bandwidth_Confidence_Factor,0)</f>
        <v>0</v>
      </c>
      <c r="C139" s="200" t="s">
        <v>7</v>
      </c>
      <c r="D139" s="196">
        <f>IF(B$107&gt;0,B139/B$107,0)</f>
        <v>0</v>
      </c>
      <c r="H139" s="64"/>
      <c r="I139" s="64"/>
    </row>
    <row r="140" spans="1:9" ht="12.75" customHeight="1" thickBot="1" x14ac:dyDescent="0.25">
      <c r="A140" s="274" t="s">
        <v>62</v>
      </c>
      <c r="B140" s="32">
        <f>SUM(B121:B139)</f>
        <v>1794.8097583314009</v>
      </c>
      <c r="C140" s="33" t="s">
        <v>7</v>
      </c>
      <c r="D140" s="26">
        <f>IF(B$142&gt;0,B140/B$142,0)</f>
        <v>0.25789967275522152</v>
      </c>
      <c r="H140" s="64"/>
      <c r="I140" s="64"/>
    </row>
    <row r="141" spans="1:9" ht="12.75" customHeight="1" thickBot="1" x14ac:dyDescent="0.25">
      <c r="A141" s="274" t="s">
        <v>63</v>
      </c>
      <c r="B141" s="32">
        <f>SUM(B114:B119)</f>
        <v>5036.5234550724635</v>
      </c>
      <c r="C141" s="33" t="s">
        <v>7</v>
      </c>
      <c r="D141" s="26">
        <f>IF(B$142&gt;0,B141/B$142,0)</f>
        <v>0.72370776059004949</v>
      </c>
      <c r="H141" s="64"/>
      <c r="I141" s="64"/>
    </row>
    <row r="142" spans="1:9" s="17" customFormat="1" ht="16.149999999999999" customHeight="1" thickBot="1" x14ac:dyDescent="0.3">
      <c r="A142" s="253" t="s">
        <v>64</v>
      </c>
      <c r="B142" s="39">
        <f>SUM(B140:B141)+('BW Data'!E64)</f>
        <v>6959.3332134038646</v>
      </c>
      <c r="C142" s="40" t="s">
        <v>7</v>
      </c>
      <c r="D142" s="41">
        <f>SUM(D114:D134)</f>
        <v>0.98159048743381228</v>
      </c>
      <c r="H142" s="65"/>
      <c r="I142" s="65"/>
    </row>
    <row r="143" spans="1:9" ht="12.75" customHeight="1" thickBot="1" x14ac:dyDescent="0.25">
      <c r="A143" s="274" t="s">
        <v>94</v>
      </c>
      <c r="B143" s="32">
        <f>IF(Number_of_Agents&gt;0,B140/Number_of_Agents,0)</f>
        <v>0.9971165324063338</v>
      </c>
      <c r="C143" s="33" t="s">
        <v>7</v>
      </c>
      <c r="D143" s="26"/>
      <c r="H143" s="64"/>
      <c r="I143" s="64"/>
    </row>
    <row r="144" spans="1:9" ht="12.75" customHeight="1" thickBot="1" x14ac:dyDescent="0.25">
      <c r="A144" s="274" t="s">
        <v>95</v>
      </c>
      <c r="B144" s="32">
        <f>IF(Number_of_Supervisors&gt;0,B141/Number_of_Supervisors,0)</f>
        <v>25.182617275362318</v>
      </c>
      <c r="C144" s="33" t="s">
        <v>7</v>
      </c>
      <c r="D144" s="26"/>
      <c r="H144" s="64"/>
      <c r="I144" s="64"/>
    </row>
    <row r="145" spans="1:4" ht="12.75" customHeight="1" x14ac:dyDescent="0.2"/>
    <row r="146" spans="1:4" ht="12.75" customHeight="1" x14ac:dyDescent="0.2"/>
    <row r="147" spans="1:4" ht="12.75" customHeight="1" x14ac:dyDescent="0.2"/>
    <row r="148" spans="1:4" ht="82.5" customHeight="1" x14ac:dyDescent="0.2">
      <c r="A148" s="218" t="s">
        <v>130</v>
      </c>
      <c r="B148" s="218"/>
      <c r="C148" s="218"/>
      <c r="D148" s="218"/>
    </row>
    <row r="149" spans="1:4" ht="12.75" customHeight="1" x14ac:dyDescent="0.2">
      <c r="A149" s="218"/>
      <c r="B149" s="218"/>
      <c r="C149" s="218"/>
      <c r="D149" s="218"/>
    </row>
  </sheetData>
  <mergeCells count="23">
    <mergeCell ref="A86:D86"/>
    <mergeCell ref="A148:B148"/>
    <mergeCell ref="C148:D148"/>
    <mergeCell ref="A149:B149"/>
    <mergeCell ref="C149:D149"/>
    <mergeCell ref="A112:D112"/>
    <mergeCell ref="A113:D113"/>
    <mergeCell ref="A120:D120"/>
    <mergeCell ref="A80:D80"/>
    <mergeCell ref="A8:D8"/>
    <mergeCell ref="A19:D19"/>
    <mergeCell ref="A29:D29"/>
    <mergeCell ref="D30:D31"/>
    <mergeCell ref="D32:D33"/>
    <mergeCell ref="A46:D46"/>
    <mergeCell ref="A50:D50"/>
    <mergeCell ref="A53:D53"/>
    <mergeCell ref="A57:D57"/>
    <mergeCell ref="A61:D61"/>
    <mergeCell ref="A79:D79"/>
    <mergeCell ref="A24:D24"/>
    <mergeCell ref="A40:D40"/>
    <mergeCell ref="D41:D42"/>
  </mergeCells>
  <conditionalFormatting sqref="B36">
    <cfRule type="cellIs" dxfId="3" priority="3" stopIfTrue="1" operator="equal">
      <formula>1</formula>
    </cfRule>
    <cfRule type="cellIs" dxfId="2" priority="4" stopIfTrue="1" operator="notEqual">
      <formula>1</formula>
    </cfRule>
  </conditionalFormatting>
  <conditionalFormatting sqref="B45">
    <cfRule type="cellIs" dxfId="1" priority="1" stopIfTrue="1" operator="equal">
      <formula>1</formula>
    </cfRule>
    <cfRule type="cellIs" dxfId="0" priority="2" stopIfTrue="1" operator="not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topLeftCell="A49" zoomScale="130" zoomScaleNormal="130" zoomScalePageLayoutView="130" workbookViewId="0">
      <selection activeCell="I60" sqref="I60"/>
    </sheetView>
  </sheetViews>
  <sheetFormatPr defaultColWidth="8.7109375" defaultRowHeight="12.75" x14ac:dyDescent="0.2"/>
  <cols>
    <col min="1" max="1" width="58.140625" customWidth="1"/>
    <col min="2" max="4" width="18.7109375" hidden="1" customWidth="1"/>
    <col min="5" max="7" width="18.7109375" customWidth="1"/>
    <col min="8" max="8" width="12.42578125" customWidth="1"/>
    <col min="9" max="9" width="26.7109375" bestFit="1" customWidth="1"/>
  </cols>
  <sheetData>
    <row r="1" spans="1:8" ht="13.5" thickBot="1" x14ac:dyDescent="0.25">
      <c r="A1" s="1"/>
    </row>
    <row r="2" spans="1:8" x14ac:dyDescent="0.2">
      <c r="A2" s="244" t="s">
        <v>225</v>
      </c>
      <c r="B2" s="109"/>
      <c r="C2" s="109"/>
      <c r="D2" s="109"/>
      <c r="E2" s="109"/>
      <c r="F2" s="109"/>
      <c r="G2" s="109"/>
      <c r="H2" s="110"/>
    </row>
    <row r="3" spans="1:8" ht="25.5" x14ac:dyDescent="0.2">
      <c r="A3" s="245"/>
      <c r="B3" s="63" t="s">
        <v>131</v>
      </c>
      <c r="C3" s="63" t="s">
        <v>132</v>
      </c>
      <c r="D3" s="63" t="s">
        <v>133</v>
      </c>
      <c r="E3" s="63" t="s">
        <v>219</v>
      </c>
      <c r="F3" s="63" t="s">
        <v>220</v>
      </c>
      <c r="G3" s="63" t="s">
        <v>223</v>
      </c>
      <c r="H3" s="111" t="s">
        <v>11</v>
      </c>
    </row>
    <row r="4" spans="1:8" x14ac:dyDescent="0.2">
      <c r="A4" s="112" t="s">
        <v>119</v>
      </c>
      <c r="B4" s="108"/>
      <c r="C4" s="124"/>
      <c r="D4" s="124"/>
      <c r="E4" s="124"/>
      <c r="F4" s="124"/>
      <c r="G4" s="124"/>
      <c r="H4" s="113"/>
    </row>
    <row r="5" spans="1:8" x14ac:dyDescent="0.2">
      <c r="A5" s="171" t="s">
        <v>158</v>
      </c>
      <c r="B5" s="62">
        <f>2.8 *1024 * 1024</f>
        <v>2936012.7999999998</v>
      </c>
      <c r="C5" s="138"/>
      <c r="D5" s="132">
        <f>1680+1380</f>
        <v>3060</v>
      </c>
      <c r="E5" s="149">
        <v>3086336</v>
      </c>
      <c r="F5" s="149">
        <v>296960</v>
      </c>
      <c r="G5" s="151" t="s">
        <v>142</v>
      </c>
      <c r="H5" s="160" t="s">
        <v>128</v>
      </c>
    </row>
    <row r="6" spans="1:8" x14ac:dyDescent="0.2">
      <c r="A6" s="172" t="s">
        <v>159</v>
      </c>
      <c r="B6" s="62">
        <f>0.8 *1024 * 1024</f>
        <v>838860.80000000005</v>
      </c>
      <c r="C6" s="138"/>
      <c r="D6" s="132" t="s">
        <v>142</v>
      </c>
      <c r="E6" s="149">
        <v>248832</v>
      </c>
      <c r="F6" s="149">
        <v>60416</v>
      </c>
      <c r="G6" s="151" t="s">
        <v>142</v>
      </c>
      <c r="H6" s="160" t="s">
        <v>128</v>
      </c>
    </row>
    <row r="7" spans="1:8" x14ac:dyDescent="0.2">
      <c r="A7" s="171" t="s">
        <v>160</v>
      </c>
      <c r="B7" s="62">
        <f>5.2 *1024 * 1024</f>
        <v>5452595.2000000002</v>
      </c>
      <c r="C7" s="138"/>
      <c r="D7" s="125">
        <f>1338+802</f>
        <v>2140</v>
      </c>
      <c r="E7" s="150">
        <v>3333120</v>
      </c>
      <c r="F7" s="149">
        <v>295936</v>
      </c>
      <c r="G7" s="151" t="s">
        <v>142</v>
      </c>
      <c r="H7" s="160" t="s">
        <v>128</v>
      </c>
    </row>
    <row r="8" spans="1:8" x14ac:dyDescent="0.2">
      <c r="A8" s="172" t="s">
        <v>161</v>
      </c>
      <c r="B8" s="62">
        <f>2.8 *1024 * 1024</f>
        <v>2936012.7999999998</v>
      </c>
      <c r="C8" s="138"/>
      <c r="D8" s="132" t="s">
        <v>142</v>
      </c>
      <c r="E8" s="149">
        <v>296960</v>
      </c>
      <c r="F8" s="149">
        <v>120832</v>
      </c>
      <c r="G8" s="151" t="s">
        <v>142</v>
      </c>
      <c r="H8" s="160" t="s">
        <v>128</v>
      </c>
    </row>
    <row r="9" spans="1:8" x14ac:dyDescent="0.2">
      <c r="A9" s="201" t="s">
        <v>162</v>
      </c>
      <c r="B9" s="62">
        <f>2.8 *1024 * 1024</f>
        <v>2936012.7999999998</v>
      </c>
      <c r="C9" s="138"/>
      <c r="D9" s="132">
        <f>1680+1380</f>
        <v>3060</v>
      </c>
      <c r="E9" s="149">
        <v>3293184</v>
      </c>
      <c r="F9" s="149">
        <v>537600</v>
      </c>
      <c r="G9" s="151" t="s">
        <v>142</v>
      </c>
      <c r="H9" s="160" t="s">
        <v>128</v>
      </c>
    </row>
    <row r="10" spans="1:8" x14ac:dyDescent="0.2">
      <c r="A10" s="202" t="s">
        <v>163</v>
      </c>
      <c r="B10" s="62">
        <f>0.8 *1024 * 1024</f>
        <v>838860.80000000005</v>
      </c>
      <c r="C10" s="138"/>
      <c r="D10" s="132" t="s">
        <v>142</v>
      </c>
      <c r="E10" s="149">
        <v>329728</v>
      </c>
      <c r="F10" s="149">
        <v>120832</v>
      </c>
      <c r="G10" s="151" t="s">
        <v>142</v>
      </c>
      <c r="H10" s="160" t="s">
        <v>128</v>
      </c>
    </row>
    <row r="11" spans="1:8" x14ac:dyDescent="0.2">
      <c r="A11" s="201" t="s">
        <v>164</v>
      </c>
      <c r="B11" s="62">
        <f>5.2 *1024 * 1024</f>
        <v>5452595.2000000002</v>
      </c>
      <c r="C11" s="138"/>
      <c r="D11" s="125">
        <f>1338+802</f>
        <v>2140</v>
      </c>
      <c r="E11" s="150">
        <v>3660800</v>
      </c>
      <c r="F11" s="149">
        <v>417792</v>
      </c>
      <c r="G11" s="151" t="s">
        <v>142</v>
      </c>
      <c r="H11" s="160" t="s">
        <v>128</v>
      </c>
    </row>
    <row r="12" spans="1:8" x14ac:dyDescent="0.2">
      <c r="A12" s="203" t="s">
        <v>165</v>
      </c>
      <c r="B12" s="173">
        <f>2.8 *1024 * 1024</f>
        <v>2936012.7999999998</v>
      </c>
      <c r="C12" s="174"/>
      <c r="D12" s="175" t="s">
        <v>142</v>
      </c>
      <c r="E12" s="176">
        <v>342016</v>
      </c>
      <c r="F12" s="149">
        <v>60416</v>
      </c>
      <c r="G12" s="177" t="s">
        <v>142</v>
      </c>
      <c r="H12" s="178" t="s">
        <v>128</v>
      </c>
    </row>
    <row r="13" spans="1:8" x14ac:dyDescent="0.2">
      <c r="A13" s="204" t="s">
        <v>215</v>
      </c>
      <c r="B13" s="5"/>
      <c r="C13" s="142"/>
      <c r="D13" s="131"/>
      <c r="E13" s="179">
        <v>3214</v>
      </c>
      <c r="F13" s="149">
        <v>885</v>
      </c>
      <c r="G13" s="180" t="s">
        <v>142</v>
      </c>
      <c r="H13" s="180" t="s">
        <v>128</v>
      </c>
    </row>
    <row r="14" spans="1:8" x14ac:dyDescent="0.2">
      <c r="A14" s="204" t="s">
        <v>216</v>
      </c>
      <c r="B14" s="5"/>
      <c r="C14" s="142"/>
      <c r="D14" s="131"/>
      <c r="E14" s="179">
        <v>3160</v>
      </c>
      <c r="F14" s="149">
        <v>885</v>
      </c>
      <c r="G14" s="180" t="s">
        <v>142</v>
      </c>
      <c r="H14" s="180" t="s">
        <v>128</v>
      </c>
    </row>
    <row r="15" spans="1:8" x14ac:dyDescent="0.2">
      <c r="A15" s="204" t="s">
        <v>217</v>
      </c>
      <c r="B15" s="5"/>
      <c r="C15" s="142"/>
      <c r="D15" s="131"/>
      <c r="E15" s="179">
        <v>6191</v>
      </c>
      <c r="F15" s="149">
        <v>568</v>
      </c>
      <c r="G15" s="180" t="s">
        <v>142</v>
      </c>
      <c r="H15" s="180" t="s">
        <v>128</v>
      </c>
    </row>
    <row r="16" spans="1:8" x14ac:dyDescent="0.2">
      <c r="A16" s="204" t="s">
        <v>218</v>
      </c>
      <c r="B16" s="5"/>
      <c r="C16" s="142"/>
      <c r="D16" s="131"/>
      <c r="E16" s="179">
        <v>3200</v>
      </c>
      <c r="F16" s="149">
        <v>568</v>
      </c>
      <c r="G16" s="180" t="s">
        <v>142</v>
      </c>
      <c r="H16" s="180" t="s">
        <v>128</v>
      </c>
    </row>
    <row r="17" spans="1:8" x14ac:dyDescent="0.2">
      <c r="A17" s="248" t="s">
        <v>90</v>
      </c>
      <c r="B17" s="249"/>
      <c r="C17" s="139"/>
      <c r="D17" s="126"/>
      <c r="E17" s="126"/>
      <c r="F17" s="157"/>
      <c r="G17" s="157"/>
      <c r="H17" s="161"/>
    </row>
    <row r="18" spans="1:8" x14ac:dyDescent="0.2">
      <c r="A18" s="115" t="s">
        <v>129</v>
      </c>
      <c r="B18" s="62">
        <v>1275</v>
      </c>
      <c r="C18" s="138"/>
      <c r="D18" s="132" t="s">
        <v>142</v>
      </c>
      <c r="E18" s="146"/>
      <c r="F18" s="151" t="s">
        <v>142</v>
      </c>
      <c r="G18" s="151" t="s">
        <v>142</v>
      </c>
      <c r="H18" s="160" t="s">
        <v>128</v>
      </c>
    </row>
    <row r="19" spans="1:8" x14ac:dyDescent="0.2">
      <c r="A19" s="114" t="s">
        <v>91</v>
      </c>
      <c r="B19" s="5">
        <v>790</v>
      </c>
      <c r="C19" s="138"/>
      <c r="D19" s="125">
        <v>737</v>
      </c>
      <c r="E19" s="147">
        <v>1536</v>
      </c>
      <c r="F19" s="153">
        <v>717</v>
      </c>
      <c r="G19" s="151" t="s">
        <v>142</v>
      </c>
      <c r="H19" s="160" t="s">
        <v>128</v>
      </c>
    </row>
    <row r="20" spans="1:8" x14ac:dyDescent="0.2">
      <c r="A20" s="246" t="s">
        <v>14</v>
      </c>
      <c r="B20" s="247"/>
      <c r="C20" s="140"/>
      <c r="D20" s="127"/>
      <c r="E20" s="127"/>
      <c r="F20" s="158"/>
      <c r="G20" s="158"/>
      <c r="H20" s="161"/>
    </row>
    <row r="21" spans="1:8" x14ac:dyDescent="0.2">
      <c r="A21" s="116" t="s">
        <v>15</v>
      </c>
      <c r="B21" s="5">
        <v>25020</v>
      </c>
      <c r="C21" s="138"/>
      <c r="D21" s="125">
        <v>3259</v>
      </c>
      <c r="E21" s="215">
        <v>28725</v>
      </c>
      <c r="F21" s="153">
        <v>8121</v>
      </c>
      <c r="G21" s="153"/>
      <c r="H21" s="160" t="s">
        <v>128</v>
      </c>
    </row>
    <row r="22" spans="1:8" x14ac:dyDescent="0.2">
      <c r="A22" s="116" t="s">
        <v>16</v>
      </c>
      <c r="B22" s="5">
        <v>38785</v>
      </c>
      <c r="C22" s="138"/>
      <c r="D22" s="125">
        <v>3387</v>
      </c>
      <c r="E22" s="215">
        <v>45773</v>
      </c>
      <c r="F22" s="153">
        <v>7410</v>
      </c>
      <c r="G22" s="151" t="s">
        <v>142</v>
      </c>
      <c r="H22" s="160" t="s">
        <v>128</v>
      </c>
    </row>
    <row r="23" spans="1:8" x14ac:dyDescent="0.2">
      <c r="A23" s="116" t="s">
        <v>17</v>
      </c>
      <c r="B23" s="5">
        <v>64177</v>
      </c>
      <c r="C23" s="138"/>
      <c r="D23" s="125">
        <v>5606</v>
      </c>
      <c r="E23" s="215">
        <v>86647</v>
      </c>
      <c r="F23" s="153">
        <v>10517</v>
      </c>
      <c r="G23" s="151" t="s">
        <v>142</v>
      </c>
      <c r="H23" s="160" t="s">
        <v>128</v>
      </c>
    </row>
    <row r="24" spans="1:8" x14ac:dyDescent="0.2">
      <c r="A24" s="116" t="s">
        <v>18</v>
      </c>
      <c r="B24" s="5">
        <v>79757</v>
      </c>
      <c r="C24" s="138"/>
      <c r="D24" s="125">
        <v>6236</v>
      </c>
      <c r="E24" s="215">
        <v>108860</v>
      </c>
      <c r="F24" s="153">
        <v>14727</v>
      </c>
      <c r="G24" s="151" t="s">
        <v>142</v>
      </c>
      <c r="H24" s="160" t="s">
        <v>128</v>
      </c>
    </row>
    <row r="25" spans="1:8" x14ac:dyDescent="0.2">
      <c r="A25" s="114" t="s">
        <v>134</v>
      </c>
      <c r="B25" s="5"/>
      <c r="C25" s="138"/>
      <c r="D25" s="125">
        <v>6601</v>
      </c>
      <c r="E25" s="215">
        <v>88839</v>
      </c>
      <c r="F25" s="153">
        <v>13191</v>
      </c>
      <c r="G25" s="151" t="s">
        <v>142</v>
      </c>
      <c r="H25" s="160" t="s">
        <v>128</v>
      </c>
    </row>
    <row r="26" spans="1:8" x14ac:dyDescent="0.2">
      <c r="A26" s="114" t="s">
        <v>92</v>
      </c>
      <c r="B26" s="5">
        <v>17213</v>
      </c>
      <c r="C26" s="138"/>
      <c r="D26" s="125">
        <v>455</v>
      </c>
      <c r="E26" s="215">
        <v>15258</v>
      </c>
      <c r="F26" s="153">
        <v>1229</v>
      </c>
      <c r="G26" s="153" t="s">
        <v>142</v>
      </c>
      <c r="H26" s="160" t="s">
        <v>128</v>
      </c>
    </row>
    <row r="27" spans="1:8" x14ac:dyDescent="0.2">
      <c r="A27" s="246" t="s">
        <v>166</v>
      </c>
      <c r="B27" s="247"/>
      <c r="C27" s="140"/>
      <c r="D27" s="127"/>
      <c r="E27" s="127"/>
      <c r="F27" s="158"/>
      <c r="G27" s="158"/>
      <c r="H27" s="161"/>
    </row>
    <row r="28" spans="1:8" x14ac:dyDescent="0.2">
      <c r="A28" s="205" t="s">
        <v>167</v>
      </c>
      <c r="B28" s="5">
        <v>25020</v>
      </c>
      <c r="C28" s="138"/>
      <c r="D28" s="125">
        <v>3259</v>
      </c>
      <c r="E28" s="150">
        <v>13416</v>
      </c>
      <c r="F28" s="153">
        <v>2584</v>
      </c>
      <c r="G28" s="153" t="s">
        <v>142</v>
      </c>
      <c r="H28" s="160" t="s">
        <v>128</v>
      </c>
    </row>
    <row r="29" spans="1:8" x14ac:dyDescent="0.2">
      <c r="A29" s="205" t="s">
        <v>212</v>
      </c>
      <c r="B29" s="5">
        <v>64177</v>
      </c>
      <c r="C29" s="138"/>
      <c r="D29" s="125">
        <v>5606</v>
      </c>
      <c r="E29" s="150">
        <v>18782</v>
      </c>
      <c r="F29" s="153">
        <v>4145</v>
      </c>
      <c r="G29" s="151" t="s">
        <v>142</v>
      </c>
      <c r="H29" s="160" t="s">
        <v>128</v>
      </c>
    </row>
    <row r="30" spans="1:8" x14ac:dyDescent="0.2">
      <c r="A30" s="205" t="s">
        <v>168</v>
      </c>
      <c r="B30" s="5">
        <v>79757</v>
      </c>
      <c r="C30" s="138"/>
      <c r="D30" s="125">
        <v>6236</v>
      </c>
      <c r="E30" s="150">
        <v>6724</v>
      </c>
      <c r="F30" s="153">
        <v>840</v>
      </c>
      <c r="G30" s="151" t="s">
        <v>142</v>
      </c>
      <c r="H30" s="160" t="s">
        <v>128</v>
      </c>
    </row>
    <row r="31" spans="1:8" x14ac:dyDescent="0.2">
      <c r="A31" s="202" t="s">
        <v>169</v>
      </c>
      <c r="B31" s="5"/>
      <c r="C31" s="138"/>
      <c r="D31" s="125">
        <v>6601</v>
      </c>
      <c r="E31" s="150">
        <v>6426</v>
      </c>
      <c r="F31" s="153">
        <v>1062</v>
      </c>
      <c r="G31" s="151" t="s">
        <v>142</v>
      </c>
      <c r="H31" s="160" t="s">
        <v>128</v>
      </c>
    </row>
    <row r="32" spans="1:8" x14ac:dyDescent="0.2">
      <c r="A32" s="202" t="s">
        <v>213</v>
      </c>
      <c r="B32" s="5"/>
      <c r="C32" s="138"/>
      <c r="D32" s="125"/>
      <c r="E32" s="150">
        <v>73474</v>
      </c>
      <c r="F32" s="153">
        <v>8869</v>
      </c>
      <c r="G32" s="151" t="s">
        <v>142</v>
      </c>
      <c r="H32" s="160" t="s">
        <v>128</v>
      </c>
    </row>
    <row r="33" spans="1:9" x14ac:dyDescent="0.2">
      <c r="A33" s="206" t="s">
        <v>92</v>
      </c>
      <c r="B33" s="5">
        <v>17213</v>
      </c>
      <c r="C33" s="138"/>
      <c r="D33" s="125">
        <v>455</v>
      </c>
      <c r="E33" s="150">
        <v>7538</v>
      </c>
      <c r="F33" s="153">
        <v>1062</v>
      </c>
      <c r="G33" s="153" t="s">
        <v>142</v>
      </c>
      <c r="H33" s="160" t="s">
        <v>128</v>
      </c>
    </row>
    <row r="34" spans="1:9" x14ac:dyDescent="0.2">
      <c r="A34" s="246" t="s">
        <v>21</v>
      </c>
      <c r="B34" s="247"/>
      <c r="C34" s="140"/>
      <c r="D34" s="127"/>
      <c r="E34" s="127"/>
      <c r="F34" s="158"/>
      <c r="G34" s="158"/>
      <c r="H34" s="161"/>
    </row>
    <row r="35" spans="1:9" hidden="1" x14ac:dyDescent="0.2">
      <c r="A35" s="116" t="s">
        <v>0</v>
      </c>
      <c r="B35" s="5"/>
      <c r="C35" s="141"/>
      <c r="D35" s="128"/>
      <c r="E35" s="128"/>
      <c r="F35" s="159"/>
      <c r="G35" s="159"/>
      <c r="H35" s="162"/>
    </row>
    <row r="36" spans="1:9" x14ac:dyDescent="0.2">
      <c r="A36" s="116" t="s">
        <v>42</v>
      </c>
      <c r="B36" s="5">
        <v>185</v>
      </c>
      <c r="C36" s="138"/>
      <c r="D36" s="132" t="s">
        <v>142</v>
      </c>
      <c r="E36" s="151"/>
      <c r="F36" s="151" t="s">
        <v>142</v>
      </c>
      <c r="G36" s="151" t="s">
        <v>142</v>
      </c>
      <c r="H36" s="160" t="s">
        <v>128</v>
      </c>
    </row>
    <row r="37" spans="1:9" x14ac:dyDescent="0.2">
      <c r="A37" s="246" t="s">
        <v>22</v>
      </c>
      <c r="B37" s="247"/>
      <c r="C37" s="139"/>
      <c r="D37" s="126"/>
      <c r="E37" s="126"/>
      <c r="F37" s="157"/>
      <c r="G37" s="157"/>
      <c r="H37" s="161"/>
    </row>
    <row r="38" spans="1:9" hidden="1" x14ac:dyDescent="0.2">
      <c r="A38" s="116" t="s">
        <v>0</v>
      </c>
      <c r="B38" s="5"/>
      <c r="C38" s="141"/>
      <c r="D38" s="128"/>
      <c r="E38" s="128"/>
      <c r="F38" s="159"/>
      <c r="G38" s="159"/>
      <c r="H38" s="162"/>
    </row>
    <row r="39" spans="1:9" x14ac:dyDescent="0.2">
      <c r="A39" s="116" t="s">
        <v>42</v>
      </c>
      <c r="B39" s="5">
        <v>0</v>
      </c>
      <c r="C39" s="141"/>
      <c r="D39" s="128"/>
      <c r="E39" s="152"/>
      <c r="F39" s="151" t="s">
        <v>142</v>
      </c>
      <c r="G39" s="151" t="s">
        <v>142</v>
      </c>
      <c r="H39" s="152" t="s">
        <v>128</v>
      </c>
    </row>
    <row r="40" spans="1:9" x14ac:dyDescent="0.2">
      <c r="A40" s="246" t="s">
        <v>114</v>
      </c>
      <c r="B40" s="247"/>
      <c r="C40" s="140"/>
      <c r="D40" s="127"/>
      <c r="E40" s="127"/>
      <c r="F40" s="158"/>
      <c r="G40" s="158"/>
      <c r="H40" s="161"/>
    </row>
    <row r="41" spans="1:9" x14ac:dyDescent="0.2">
      <c r="A41" s="114" t="s">
        <v>88</v>
      </c>
      <c r="B41" s="5">
        <v>44642</v>
      </c>
      <c r="C41" s="138"/>
      <c r="D41" s="125">
        <v>3038</v>
      </c>
      <c r="E41" s="216">
        <v>26710</v>
      </c>
      <c r="F41" s="153">
        <v>3256</v>
      </c>
      <c r="G41" s="151" t="s">
        <v>142</v>
      </c>
      <c r="H41" s="160" t="s">
        <v>128</v>
      </c>
      <c r="I41" s="4"/>
    </row>
    <row r="42" spans="1:9" x14ac:dyDescent="0.2">
      <c r="A42" s="114" t="s">
        <v>89</v>
      </c>
      <c r="B42" s="5">
        <v>1797</v>
      </c>
      <c r="C42" s="138"/>
      <c r="D42" s="125">
        <v>588</v>
      </c>
      <c r="E42" s="216">
        <v>2126</v>
      </c>
      <c r="F42" s="153">
        <v>597</v>
      </c>
      <c r="G42" s="151" t="s">
        <v>142</v>
      </c>
      <c r="H42" s="160" t="s">
        <v>128</v>
      </c>
    </row>
    <row r="43" spans="1:9" x14ac:dyDescent="0.2">
      <c r="A43" s="130" t="s">
        <v>135</v>
      </c>
      <c r="B43" s="5"/>
      <c r="C43" s="142"/>
      <c r="D43" s="5">
        <v>5622</v>
      </c>
      <c r="E43" s="217">
        <v>42053</v>
      </c>
      <c r="F43" s="154">
        <v>7288</v>
      </c>
      <c r="G43" s="151" t="s">
        <v>142</v>
      </c>
      <c r="H43" s="163" t="s">
        <v>128</v>
      </c>
    </row>
    <row r="44" spans="1:9" x14ac:dyDescent="0.2">
      <c r="A44" s="130" t="s">
        <v>136</v>
      </c>
      <c r="B44" s="5"/>
      <c r="C44" s="142"/>
      <c r="D44" s="5">
        <v>1356</v>
      </c>
      <c r="E44" s="217">
        <v>13288</v>
      </c>
      <c r="F44" s="154">
        <v>912</v>
      </c>
      <c r="G44" s="151" t="s">
        <v>142</v>
      </c>
      <c r="H44" s="163" t="s">
        <v>128</v>
      </c>
    </row>
    <row r="45" spans="1:9" ht="13.5" thickBot="1" x14ac:dyDescent="0.25">
      <c r="A45" s="240" t="s">
        <v>155</v>
      </c>
      <c r="B45" s="241"/>
      <c r="C45" s="128"/>
      <c r="D45" s="128"/>
      <c r="E45" s="240"/>
      <c r="F45" s="241"/>
      <c r="G45" s="241"/>
      <c r="H45" s="161"/>
    </row>
    <row r="46" spans="1:9" x14ac:dyDescent="0.2">
      <c r="A46" s="168" t="s">
        <v>156</v>
      </c>
      <c r="B46" s="167"/>
      <c r="C46" s="167"/>
      <c r="D46" s="167"/>
      <c r="E46" s="167"/>
      <c r="F46" s="167" t="s">
        <v>142</v>
      </c>
      <c r="G46" s="151" t="s">
        <v>142</v>
      </c>
      <c r="H46" s="163"/>
    </row>
    <row r="47" spans="1:9" ht="13.5" thickBot="1" x14ac:dyDescent="0.25">
      <c r="A47" s="169" t="s">
        <v>157</v>
      </c>
      <c r="B47" s="119"/>
      <c r="C47" s="119"/>
      <c r="D47" s="119"/>
      <c r="E47" s="119">
        <v>10000</v>
      </c>
      <c r="F47" s="119">
        <v>10000</v>
      </c>
      <c r="G47" s="151" t="s">
        <v>142</v>
      </c>
      <c r="H47" s="163" t="s">
        <v>128</v>
      </c>
    </row>
    <row r="48" spans="1:9" x14ac:dyDescent="0.2">
      <c r="A48" s="242" t="s">
        <v>60</v>
      </c>
      <c r="B48" s="243"/>
      <c r="C48" s="129"/>
      <c r="D48" s="129"/>
      <c r="E48" s="129"/>
      <c r="F48" s="158"/>
      <c r="G48" s="158"/>
      <c r="H48" s="161"/>
    </row>
    <row r="49" spans="1:9" x14ac:dyDescent="0.2">
      <c r="A49" s="117" t="s">
        <v>61</v>
      </c>
      <c r="B49" s="5">
        <v>1.3</v>
      </c>
      <c r="C49" s="125">
        <v>1.3</v>
      </c>
      <c r="D49" s="125">
        <v>1.3</v>
      </c>
      <c r="E49" s="153">
        <v>1.3</v>
      </c>
      <c r="F49" s="153">
        <v>1.3</v>
      </c>
      <c r="G49" s="153">
        <v>1.3</v>
      </c>
      <c r="H49" s="160"/>
    </row>
    <row r="50" spans="1:9" x14ac:dyDescent="0.2">
      <c r="A50" s="242" t="s">
        <v>99</v>
      </c>
      <c r="B50" s="243"/>
      <c r="C50" s="129"/>
      <c r="D50" s="129"/>
      <c r="E50" s="129"/>
      <c r="F50" s="158"/>
      <c r="G50" s="158"/>
      <c r="H50" s="161"/>
    </row>
    <row r="51" spans="1:9" x14ac:dyDescent="0.2">
      <c r="A51" s="118" t="s">
        <v>96</v>
      </c>
      <c r="B51" s="5">
        <v>7</v>
      </c>
      <c r="C51" s="5">
        <v>7</v>
      </c>
      <c r="D51" s="5">
        <v>7</v>
      </c>
      <c r="E51" s="154">
        <v>7</v>
      </c>
      <c r="F51" s="154">
        <v>7</v>
      </c>
      <c r="G51" s="154">
        <v>7</v>
      </c>
      <c r="H51" s="164"/>
    </row>
    <row r="52" spans="1:9" x14ac:dyDescent="0.2">
      <c r="A52" s="118" t="s">
        <v>97</v>
      </c>
      <c r="B52" s="5">
        <v>8</v>
      </c>
      <c r="C52" s="5">
        <v>8</v>
      </c>
      <c r="D52" s="5">
        <v>8</v>
      </c>
      <c r="E52" s="154">
        <v>8</v>
      </c>
      <c r="F52" s="154">
        <v>8</v>
      </c>
      <c r="G52" s="154">
        <v>8</v>
      </c>
      <c r="H52" s="164"/>
    </row>
    <row r="53" spans="1:9" x14ac:dyDescent="0.2">
      <c r="A53" s="207" t="s">
        <v>170</v>
      </c>
      <c r="B53" s="5">
        <v>7</v>
      </c>
      <c r="C53" s="5">
        <v>7</v>
      </c>
      <c r="D53" s="5">
        <v>7</v>
      </c>
      <c r="E53" s="154">
        <v>7</v>
      </c>
      <c r="F53" s="154">
        <v>7</v>
      </c>
      <c r="G53" s="154">
        <v>7</v>
      </c>
      <c r="H53" s="164"/>
    </row>
    <row r="54" spans="1:9" x14ac:dyDescent="0.2">
      <c r="A54" s="207" t="s">
        <v>171</v>
      </c>
      <c r="B54" s="5">
        <v>8</v>
      </c>
      <c r="C54" s="5">
        <v>8</v>
      </c>
      <c r="D54" s="5">
        <v>8</v>
      </c>
      <c r="E54" s="154">
        <v>8</v>
      </c>
      <c r="F54" s="154">
        <v>8</v>
      </c>
      <c r="G54" s="154">
        <v>8</v>
      </c>
      <c r="H54" s="164"/>
    </row>
    <row r="55" spans="1:9" x14ac:dyDescent="0.2">
      <c r="A55" s="118" t="s">
        <v>98</v>
      </c>
      <c r="B55" s="5">
        <v>10</v>
      </c>
      <c r="C55" s="5">
        <v>10</v>
      </c>
      <c r="D55" s="5">
        <v>10</v>
      </c>
      <c r="E55" s="154">
        <v>10</v>
      </c>
      <c r="F55" s="154">
        <v>10</v>
      </c>
      <c r="G55" s="154">
        <v>10</v>
      </c>
      <c r="H55" s="164"/>
    </row>
    <row r="56" spans="1:9" x14ac:dyDescent="0.2">
      <c r="A56" s="118" t="s">
        <v>100</v>
      </c>
      <c r="B56" s="5">
        <v>3</v>
      </c>
      <c r="C56" s="5">
        <v>3</v>
      </c>
      <c r="D56" s="131" t="s">
        <v>142</v>
      </c>
      <c r="E56" s="152" t="s">
        <v>142</v>
      </c>
      <c r="F56" s="152" t="s">
        <v>142</v>
      </c>
      <c r="G56" s="152" t="s">
        <v>142</v>
      </c>
      <c r="H56" s="164"/>
    </row>
    <row r="57" spans="1:9" x14ac:dyDescent="0.2">
      <c r="A57" s="118" t="s">
        <v>101</v>
      </c>
      <c r="B57" s="5">
        <v>15</v>
      </c>
      <c r="C57" s="5">
        <v>15</v>
      </c>
      <c r="D57" s="131" t="s">
        <v>142</v>
      </c>
      <c r="E57" s="152" t="s">
        <v>142</v>
      </c>
      <c r="F57" s="152" t="s">
        <v>142</v>
      </c>
      <c r="G57" s="152" t="s">
        <v>142</v>
      </c>
      <c r="H57" s="164"/>
    </row>
    <row r="58" spans="1:9" x14ac:dyDescent="0.2">
      <c r="A58" s="118" t="s">
        <v>102</v>
      </c>
      <c r="B58" s="5">
        <v>8</v>
      </c>
      <c r="C58" s="5">
        <v>8</v>
      </c>
      <c r="D58" s="131" t="s">
        <v>142</v>
      </c>
      <c r="E58" s="152" t="s">
        <v>142</v>
      </c>
      <c r="F58" s="152" t="s">
        <v>142</v>
      </c>
      <c r="G58" s="152" t="s">
        <v>142</v>
      </c>
      <c r="H58" s="164"/>
    </row>
    <row r="59" spans="1:9" x14ac:dyDescent="0.2">
      <c r="A59" s="118" t="s">
        <v>103</v>
      </c>
      <c r="B59" s="5">
        <v>12</v>
      </c>
      <c r="C59" s="5">
        <v>12</v>
      </c>
      <c r="D59" s="131" t="s">
        <v>142</v>
      </c>
      <c r="E59" s="152" t="s">
        <v>142</v>
      </c>
      <c r="F59" s="152" t="s">
        <v>142</v>
      </c>
      <c r="G59" s="152" t="s">
        <v>142</v>
      </c>
      <c r="H59" s="164"/>
    </row>
    <row r="60" spans="1:9" x14ac:dyDescent="0.2">
      <c r="A60" s="136" t="s">
        <v>104</v>
      </c>
      <c r="B60" s="137">
        <v>10</v>
      </c>
      <c r="C60" s="137">
        <v>10</v>
      </c>
      <c r="D60" s="137">
        <v>10</v>
      </c>
      <c r="E60" s="155">
        <v>10</v>
      </c>
      <c r="F60" s="155">
        <v>10</v>
      </c>
      <c r="G60" s="155">
        <v>10</v>
      </c>
      <c r="H60" s="165"/>
    </row>
    <row r="61" spans="1:9" ht="13.5" thickBot="1" x14ac:dyDescent="0.25">
      <c r="A61" s="119" t="s">
        <v>148</v>
      </c>
      <c r="B61" s="120"/>
      <c r="C61" s="120"/>
      <c r="D61" s="120">
        <v>14</v>
      </c>
      <c r="E61" s="156">
        <v>14</v>
      </c>
      <c r="F61" s="156">
        <v>14</v>
      </c>
      <c r="G61" s="156">
        <v>14</v>
      </c>
      <c r="H61" s="166"/>
    </row>
    <row r="62" spans="1:9" ht="13.5" thickBot="1" x14ac:dyDescent="0.25">
      <c r="A62" s="34"/>
    </row>
    <row r="63" spans="1:9" ht="13.5" thickBot="1" x14ac:dyDescent="0.25">
      <c r="A63" s="253" t="s">
        <v>221</v>
      </c>
      <c r="B63" s="250"/>
      <c r="C63" s="250"/>
      <c r="D63" s="250"/>
      <c r="E63" s="251">
        <v>422</v>
      </c>
      <c r="F63" s="252" t="s">
        <v>7</v>
      </c>
      <c r="G63" s="253" t="s">
        <v>228</v>
      </c>
      <c r="H63" s="253"/>
      <c r="I63" s="253"/>
    </row>
    <row r="64" spans="1:9" ht="13.5" thickBot="1" x14ac:dyDescent="0.25">
      <c r="A64" s="253" t="s">
        <v>222</v>
      </c>
      <c r="B64" s="250"/>
      <c r="C64" s="250"/>
      <c r="D64" s="250"/>
      <c r="E64" s="251">
        <v>128</v>
      </c>
      <c r="F64" s="252" t="s">
        <v>7</v>
      </c>
    </row>
    <row r="65" spans="1:7" x14ac:dyDescent="0.2">
      <c r="A65" s="214"/>
    </row>
    <row r="66" spans="1:7" ht="91.5" customHeight="1" x14ac:dyDescent="0.2">
      <c r="A66" s="218" t="s">
        <v>130</v>
      </c>
      <c r="B66" s="218"/>
      <c r="C66" s="122"/>
      <c r="D66" s="122"/>
      <c r="E66" s="135"/>
      <c r="F66" s="135"/>
      <c r="G66" s="148"/>
    </row>
  </sheetData>
  <mergeCells count="12">
    <mergeCell ref="E45:G45"/>
    <mergeCell ref="A50:B50"/>
    <mergeCell ref="A66:B66"/>
    <mergeCell ref="A2:A3"/>
    <mergeCell ref="A40:B40"/>
    <mergeCell ref="A48:B48"/>
    <mergeCell ref="A17:B17"/>
    <mergeCell ref="A20:B20"/>
    <mergeCell ref="A34:B34"/>
    <mergeCell ref="A37:B37"/>
    <mergeCell ref="A45:B45"/>
    <mergeCell ref="A27:B27"/>
  </mergeCells>
  <phoneticPr fontId="3"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85</vt:i4>
      </vt:variant>
    </vt:vector>
  </HeadingPairs>
  <TitlesOfParts>
    <vt:vector size="88" baseType="lpstr">
      <vt:lpstr>Instructions</vt:lpstr>
      <vt:lpstr>Finesse 11.6</vt:lpstr>
      <vt:lpstr>BW Data</vt:lpstr>
      <vt:lpstr>'Finesse 11.6'!Agent_Call_Wrap_Up_Time</vt:lpstr>
      <vt:lpstr>'Finesse 11.6'!Agent_Call_Wrap_Up_Time_v901</vt:lpstr>
      <vt:lpstr>'Finesse 11.6'!Agent_Statistics_Update_Interval_v801</vt:lpstr>
      <vt:lpstr>Agent_Task_Wrap_Up_Time</vt:lpstr>
      <vt:lpstr>'Finesse 11.6'!Average_Call_Duration</vt:lpstr>
      <vt:lpstr>'Finesse 11.6'!Average_Call_Duration_v901</vt:lpstr>
      <vt:lpstr>'Finesse 11.6'!Average_number_of_agents_per_Team</vt:lpstr>
      <vt:lpstr>'Finesse 11.6'!Average_number_of_agents_per_team_v901</vt:lpstr>
      <vt:lpstr>'Finesse 11.6'!Average_number_of_Skill_Groups_per_Agent_v901</vt:lpstr>
      <vt:lpstr>'Finesse 11.6'!Average_number_of_Skill_Groups_per_Supervisor</vt:lpstr>
      <vt:lpstr>Average_Task_Duration</vt:lpstr>
      <vt:lpstr>Avg_Agent_State_Changes_Per_Call_NoWrap</vt:lpstr>
      <vt:lpstr>Avg_Agent_State_Changes_Per_Call_NoWrap_v91</vt:lpstr>
      <vt:lpstr>Avg_Agent_State_Changes_Per_Call_Wrap</vt:lpstr>
      <vt:lpstr>Avg_Agent_State_Changes_Per_Call_Wrap_v91</vt:lpstr>
      <vt:lpstr>Avg_Agent_State_Changes_Per_Task_NoWrap</vt:lpstr>
      <vt:lpstr>Avg_agent_state_Changes_Per_Task_Wrap</vt:lpstr>
      <vt:lpstr>Avg_Number_Dialog_Events_Per_ConfCall</vt:lpstr>
      <vt:lpstr>Avg_Number_Dialog_Events_Per_IncomingCall</vt:lpstr>
      <vt:lpstr>Avg_Number_Dialog_Events_Per_OutCall</vt:lpstr>
      <vt:lpstr>Avg_Number_Dialog_Events_Per_XferCall</vt:lpstr>
      <vt:lpstr>Bandwidth_Confidence_Factor</vt:lpstr>
      <vt:lpstr>Bandwidth_Confidence_Factor_v9</vt:lpstr>
      <vt:lpstr>Bandwidth_Confidence_Factor_v91</vt:lpstr>
      <vt:lpstr>'Finesse 11.6'!BHCA</vt:lpstr>
      <vt:lpstr>'Finesse 11.6'!BHCA_v901</vt:lpstr>
      <vt:lpstr>BHTA</vt:lpstr>
      <vt:lpstr>Bytes_Per_Call_Variable_Value</vt:lpstr>
      <vt:lpstr>'Finesse 11.6'!Calls_Per_Second</vt:lpstr>
      <vt:lpstr>'Finesse 11.6'!Calls_Per_Second_v901</vt:lpstr>
      <vt:lpstr>'Finesse 11.6'!Max_Login_Time_All_Agents</vt:lpstr>
      <vt:lpstr>'Finesse 11.6'!Max_Login_Time_All_Users</vt:lpstr>
      <vt:lpstr>'Finesse 11.6'!Maximum_Login_Time_for_all_users</vt:lpstr>
      <vt:lpstr>'Finesse 11.6'!Number_of_Agent_Statistics_v801</vt:lpstr>
      <vt:lpstr>'Finesse 11.6'!Number_of_Agents</vt:lpstr>
      <vt:lpstr>'Finesse 11.6'!Number_of_All_Agents_Monitors_v801</vt:lpstr>
      <vt:lpstr>Number_of_Call_Variables</vt:lpstr>
      <vt:lpstr>Number_of_Call_Variables_v91</vt:lpstr>
      <vt:lpstr>Number_of_Configured_Call_variables</vt:lpstr>
      <vt:lpstr>'Finesse 11.6'!Number_of_Configured_ECC_variables</vt:lpstr>
      <vt:lpstr>'Finesse 11.6'!Number_of_Configured_ECC_variables_v901</vt:lpstr>
      <vt:lpstr>Number_of_mc_agents</vt:lpstr>
      <vt:lpstr>Number_of_Multi_Channel_Agents</vt:lpstr>
      <vt:lpstr>Number_of_Non_Voice_MRDs</vt:lpstr>
      <vt:lpstr>Number_of_nonSSO_agents</vt:lpstr>
      <vt:lpstr>Number_of_nonSSO_supervisors</vt:lpstr>
      <vt:lpstr>Number_of_nonvoice_mrds</vt:lpstr>
      <vt:lpstr>'Finesse 11.6'!Number_of_Skill_Group_Statistics_v801</vt:lpstr>
      <vt:lpstr>'Finesse 11.6'!Number_of_Skill_Groups_per_Agent_v801</vt:lpstr>
      <vt:lpstr>'Finesse 11.6'!Number_of_Skill_Groups_per_Supervisor_v901</vt:lpstr>
      <vt:lpstr>Number_of_Skill_Groups_PG</vt:lpstr>
      <vt:lpstr>Number_of_SSO_agents</vt:lpstr>
      <vt:lpstr>Number_of_SSO_supervisors</vt:lpstr>
      <vt:lpstr>'Finesse 11.6'!Number_of_Supervisors</vt:lpstr>
      <vt:lpstr>Number_of_Supervisors_v10</vt:lpstr>
      <vt:lpstr>'Finesse 11.6'!Number_of_Supervisors_v901</vt:lpstr>
      <vt:lpstr>'Finesse 11.6'!Percentage_Calls_Silently_Monitored</vt:lpstr>
      <vt:lpstr>Percentage_of_BargedCalls</vt:lpstr>
      <vt:lpstr>'Finesse 11.6'!Percentage_of_Calls_that_are_silently_monitored</vt:lpstr>
      <vt:lpstr>'Finesse 11.6'!Percentage_of_Consultative_Conference_Calls</vt:lpstr>
      <vt:lpstr>'Finesse 11.6'!Percentage_of_Consultative_Conference_Calls_v901</vt:lpstr>
      <vt:lpstr>'Finesse 11.6'!Percentage_of_Consultative_Transfer_Calls</vt:lpstr>
      <vt:lpstr>'Finesse 11.6'!Percentage_of_Consultative_Transfer_Calls_v901</vt:lpstr>
      <vt:lpstr>'Finesse 11.6'!Percentage_of_Incoming_Straight_Calls</vt:lpstr>
      <vt:lpstr>'Finesse 11.6'!Percentage_of_Incoming_Straight_Calls_v901</vt:lpstr>
      <vt:lpstr>Percentage_of_Incoming_Straight_Tasks</vt:lpstr>
      <vt:lpstr>Percentage_of_InterceptedCalls</vt:lpstr>
      <vt:lpstr>Percentage_of_Interrupted_Tasks</vt:lpstr>
      <vt:lpstr>'Finesse 11.6'!Percentage_of_Outgoing_Straight_Calls</vt:lpstr>
      <vt:lpstr>'Finesse 11.6'!Percentage_of_Outgoing_Straight_Calls_v901</vt:lpstr>
      <vt:lpstr>Percentage_of_Paused_and_Resumed_Tasks</vt:lpstr>
      <vt:lpstr>'Finesse 11.6'!Percentage_of_Single_Step_Transfer_Calls_v801</vt:lpstr>
      <vt:lpstr>Percentage_of_SingleStep_Transfer_Calls</vt:lpstr>
      <vt:lpstr>Percentage_of_Transferred_Tasks</vt:lpstr>
      <vt:lpstr>Skill_Group_Refresh_Rate</vt:lpstr>
      <vt:lpstr>Skill_Group_Refresh_Rate_v91</vt:lpstr>
      <vt:lpstr>'Finesse 11.6'!Skill_Group_Update_Interval_v801</vt:lpstr>
      <vt:lpstr>'Finesse 11.6'!Sum_of_all_Call_Variable_Values</vt:lpstr>
      <vt:lpstr>'Finesse 11.6'!Sum_of_all_Call_Variable_Values_v901</vt:lpstr>
      <vt:lpstr>'Finesse 11.6'!Sum_of_all_ECC_Variable_Names</vt:lpstr>
      <vt:lpstr>'Finesse 11.6'!Sum_of_all_ECC_Variable_Names_v901</vt:lpstr>
      <vt:lpstr>'Finesse 11.6'!Sum_of_all_ECC_Variable_Values</vt:lpstr>
      <vt:lpstr>'Finesse 11.6'!Sum_of_all_ECC_Variable_Values_v901</vt:lpstr>
      <vt:lpstr>Tasks_Per_Second</vt:lpstr>
      <vt:lpstr>'Finesse 11.6'!Total</vt:lpstr>
    </vt:vector>
  </TitlesOfParts>
  <Company>Cisco Systems,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elalo</dc:creator>
  <cp:lastModifiedBy>rajeshwk</cp:lastModifiedBy>
  <cp:lastPrinted>2005-06-13T18:47:50Z</cp:lastPrinted>
  <dcterms:created xsi:type="dcterms:W3CDTF">2005-06-07T14:17:23Z</dcterms:created>
  <dcterms:modified xsi:type="dcterms:W3CDTF">2017-10-04T05:37:27Z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