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0" windowWidth="13680" windowHeight="8640" tabRatio="683" activeTab="1"/>
  </bookViews>
  <sheets>
    <sheet name="Instructions" sheetId="1" r:id="rId1"/>
    <sheet name="NIDS Data Entry + Netwk tables" sheetId="2" r:id="rId2"/>
    <sheet name="NIDS DNS table" sheetId="3" r:id="rId3"/>
    <sheet name="NIDS Opticall table" sheetId="4" r:id="rId4"/>
    <sheet name="opticall.cfg" sheetId="5" r:id="rId5"/>
    <sheet name="hostconfig file" sheetId="6" r:id="rId6"/>
    <sheet name=" DNS CNR file" sheetId="7" r:id="rId7"/>
    <sheet name=" Reverse DNS CNR file" sheetId="8" r:id="rId8"/>
    <sheet name="DNS BIND file" sheetId="9" r:id="rId9"/>
    <sheet name="Reverse DNS BIND file" sheetId="10" r:id="rId10"/>
    <sheet name="Update History" sheetId="11" r:id="rId11"/>
  </sheets>
  <definedNames>
    <definedName name="_xlnm.Print_Titles" localSheetId="2">'NIDS DNS table'!$7:$7</definedName>
    <definedName name="_xlnm.Print_Titles" localSheetId="3">'NIDS Opticall table'!$3:$3</definedName>
  </definedNames>
  <calcPr fullCalcOnLoad="1"/>
</workbook>
</file>

<file path=xl/comments2.xml><?xml version="1.0" encoding="utf-8"?>
<comments xmlns="http://schemas.openxmlformats.org/spreadsheetml/2006/main">
  <authors>
    <author>Mark Quinn (markquin)</author>
    <author>Cisco User</author>
  </authors>
  <commentList>
    <comment ref="C51" authorId="0">
      <text>
        <r>
          <rPr>
            <b/>
            <sz val="8"/>
            <rFont val="Tahoma"/>
            <family val="2"/>
          </rPr>
          <t xml:space="preserve">Parameter used by Feature Server AIN and POTS TSA process for IN-1/AIN0.1 Services. </t>
        </r>
        <r>
          <rPr>
            <b/>
            <u val="single"/>
            <sz val="8"/>
            <color indexed="10"/>
            <rFont val="Tahoma"/>
            <family val="2"/>
          </rPr>
          <t>Default and only choice at this moment is 'SUA'</t>
        </r>
        <r>
          <rPr>
            <b/>
            <u val="single"/>
            <sz val="8"/>
            <rFont val="Tahoma"/>
            <family val="2"/>
          </rPr>
          <t>.</t>
        </r>
        <r>
          <rPr>
            <b/>
            <sz val="8"/>
            <rFont val="Tahoma"/>
            <family val="2"/>
          </rPr>
          <t xml:space="preserve">
</t>
        </r>
        <r>
          <rPr>
            <b/>
            <sz val="2"/>
            <rFont val="Tahoma"/>
            <family val="2"/>
          </rPr>
          <t xml:space="preserve">
</t>
        </r>
        <r>
          <rPr>
            <b/>
            <sz val="8"/>
            <rFont val="Tahoma"/>
            <family val="2"/>
          </rPr>
          <t>BTS10200 can communicate to SIGTRAN based Signaling Gateways over M3UA or SUA. The option chosen here MUST support SSN based Routing-Keys on the Signaling Gateway. Please select appropriate option as per the Signaling Gateway you are planning to use. If you are using Cisco-ITP Signaling Gateway you MUST chose SUA. The default is set to SUA.</t>
        </r>
        <r>
          <rPr>
            <b/>
            <u val="single"/>
            <sz val="8"/>
            <rFont val="Tahoma"/>
            <family val="2"/>
          </rPr>
          <t xml:space="preserve">
</t>
        </r>
      </text>
    </comment>
    <comment ref="C43" authorId="0">
      <text>
        <r>
          <rPr>
            <b/>
            <sz val="8"/>
            <rFont val="Tahoma"/>
            <family val="2"/>
          </rPr>
          <t>This flag will guide installation process to set GDRS daemon process which reconfigures ss7 redundancy in a Geographically Distributed Redundancy &amp; Survivability system.</t>
        </r>
        <r>
          <rPr>
            <b/>
            <sz val="2"/>
            <rFont val="Tahoma"/>
            <family val="2"/>
          </rPr>
          <t xml:space="preserve">
</t>
        </r>
        <r>
          <rPr>
            <b/>
            <u val="single"/>
            <sz val="8"/>
            <color indexed="10"/>
            <rFont val="Tahoma"/>
            <family val="2"/>
          </rPr>
          <t>Only "N" is allowed at this time.</t>
        </r>
      </text>
    </comment>
    <comment ref="C11" authorId="0">
      <text>
        <r>
          <rPr>
            <b/>
            <sz val="8"/>
            <rFont val="Tahoma"/>
            <family val="2"/>
          </rPr>
          <t>Identifies the installation.  Use an abbreviation of the company or site address or name (between 3 and 12 characters long).
Do not use the '_' sign (underscore).  It is not compliant with the
RFC that defines DNS (RFC1034 - Domain Names – Concepts and Facilities).</t>
        </r>
      </text>
    </comment>
    <comment ref="C12" authorId="0">
      <text>
        <r>
          <rPr>
            <b/>
            <sz val="8"/>
            <rFont val="Tahoma"/>
            <family val="2"/>
          </rPr>
          <t>DNS hostname, or IP address, of the primary (or only) NTP time server.</t>
        </r>
      </text>
    </comment>
    <comment ref="C18" authorId="0">
      <text>
        <r>
          <rPr>
            <b/>
            <sz val="8"/>
            <rFont val="Tahoma"/>
            <family val="2"/>
          </rPr>
          <t>The subnet (first three octets) for this network.</t>
        </r>
        <r>
          <rPr>
            <b/>
            <sz val="2"/>
            <rFont val="Tahoma"/>
            <family val="2"/>
          </rPr>
          <t xml:space="preserve">
</t>
        </r>
        <r>
          <rPr>
            <b/>
            <u val="single"/>
            <sz val="8"/>
            <rFont val="Tahoma"/>
            <family val="2"/>
          </rPr>
          <t>Note:</t>
        </r>
        <r>
          <rPr>
            <b/>
            <sz val="8"/>
            <rFont val="Tahoma"/>
            <family val="2"/>
          </rPr>
          <t xml:space="preserve"> Do NOT enter a period "." after the third octet.</t>
        </r>
      </text>
    </comment>
    <comment ref="C40" authorId="0">
      <text>
        <r>
          <rPr>
            <b/>
            <sz val="8"/>
            <rFont val="Tahoma"/>
            <family val="2"/>
          </rPr>
          <t>Identity of the Sun Hardware interface card/position to be used for this interface role.</t>
        </r>
      </text>
    </comment>
    <comment ref="C41" authorId="0">
      <text>
        <r>
          <rPr>
            <b/>
            <sz val="8"/>
            <rFont val="Tahoma"/>
            <family val="2"/>
          </rPr>
          <t>Identity of the Sun Hardware interface card/position to be used for this interface role.</t>
        </r>
      </text>
    </comment>
    <comment ref="C13" authorId="0">
      <text>
        <r>
          <rPr>
            <b/>
            <sz val="8"/>
            <rFont val="Tahoma"/>
            <family val="2"/>
          </rPr>
          <t>DNS hostname(s), or IP address(es), of the additional NTP time server(s) if applicable. If more than one, list the IPs with a space in between.</t>
        </r>
      </text>
    </comment>
    <comment ref="C20" authorId="0">
      <text>
        <r>
          <rPr>
            <b/>
            <sz val="8"/>
            <rFont val="Tahoma"/>
            <family val="2"/>
          </rPr>
          <t>Subnet mask for this network.</t>
        </r>
        <r>
          <rPr>
            <b/>
            <sz val="2"/>
            <rFont val="Tahoma"/>
            <family val="2"/>
          </rPr>
          <t xml:space="preserve">
</t>
        </r>
        <r>
          <rPr>
            <b/>
            <u val="single"/>
            <sz val="8"/>
            <rFont val="Tahoma"/>
            <family val="2"/>
          </rPr>
          <t>Note:</t>
        </r>
        <r>
          <rPr>
            <b/>
            <sz val="8"/>
            <rFont val="Tahoma"/>
            <family val="2"/>
          </rPr>
          <t xml:space="preserve"> Valid subnet masks for 24 to 30 bit subnets are:
/24 = 255.255.255.0
/25 = 255.255.255.128
/26 = 255.255.255.192
/27 = 255.255.255.224
/28 = 255.255.255.240
/29 = 255.255.255.248
/30 = 255.255.255.252
</t>
        </r>
        <r>
          <rPr>
            <b/>
            <u val="single"/>
            <sz val="8"/>
            <rFont val="Tahoma"/>
            <family val="2"/>
          </rPr>
          <t>Note 2:</t>
        </r>
        <r>
          <rPr>
            <b/>
            <sz val="8"/>
            <rFont val="Tahoma"/>
            <family val="2"/>
          </rPr>
          <t xml:space="preserve"> If your netmasks are different from "255.255.255.0"  you must manually edit the  "/tmp/netmask"  file after you run hostgen.sh, otherwise the netmask will NOT be setup correctly.
</t>
        </r>
      </text>
    </comment>
    <comment ref="C19" authorId="0">
      <text>
        <r>
          <rPr>
            <b/>
            <sz val="8"/>
            <rFont val="Tahoma"/>
            <family val="2"/>
          </rPr>
          <t>The subnet (first three octets) for this network.</t>
        </r>
        <r>
          <rPr>
            <b/>
            <sz val="2"/>
            <rFont val="Tahoma"/>
            <family val="2"/>
          </rPr>
          <t xml:space="preserve">
</t>
        </r>
        <r>
          <rPr>
            <b/>
            <u val="single"/>
            <sz val="8"/>
            <rFont val="Tahoma"/>
            <family val="2"/>
          </rPr>
          <t>Note:</t>
        </r>
        <r>
          <rPr>
            <b/>
            <sz val="8"/>
            <rFont val="Tahoma"/>
            <family val="2"/>
          </rPr>
          <t xml:space="preserve"> Do NOT enter a period "." after the third octet.</t>
        </r>
      </text>
    </comment>
    <comment ref="C24" authorId="0">
      <text>
        <r>
          <rPr>
            <b/>
            <sz val="8"/>
            <rFont val="Tahoma"/>
            <family val="2"/>
          </rPr>
          <t>The subnet (first three octets) for this network.</t>
        </r>
        <r>
          <rPr>
            <b/>
            <sz val="2"/>
            <rFont val="Tahoma"/>
            <family val="2"/>
          </rPr>
          <t xml:space="preserve">
</t>
        </r>
        <r>
          <rPr>
            <b/>
            <u val="single"/>
            <sz val="8"/>
            <rFont val="Tahoma"/>
            <family val="2"/>
          </rPr>
          <t>Note:</t>
        </r>
        <r>
          <rPr>
            <b/>
            <sz val="8"/>
            <rFont val="Tahoma"/>
            <family val="2"/>
          </rPr>
          <t xml:space="preserve"> Do NOT enter a period "." after the third octet.</t>
        </r>
      </text>
    </comment>
    <comment ref="C25" authorId="0">
      <text>
        <r>
          <rPr>
            <b/>
            <sz val="8"/>
            <rFont val="Tahoma"/>
            <family val="2"/>
          </rPr>
          <t>The subnet (first three octets) for this network.</t>
        </r>
        <r>
          <rPr>
            <b/>
            <sz val="2"/>
            <rFont val="Tahoma"/>
            <family val="2"/>
          </rPr>
          <t xml:space="preserve">
</t>
        </r>
        <r>
          <rPr>
            <b/>
            <u val="single"/>
            <sz val="8"/>
            <rFont val="Tahoma"/>
            <family val="2"/>
          </rPr>
          <t>Note:</t>
        </r>
        <r>
          <rPr>
            <b/>
            <sz val="8"/>
            <rFont val="Tahoma"/>
            <family val="2"/>
          </rPr>
          <t xml:space="preserve"> Do NOT enter a period "." after the third octet.</t>
        </r>
      </text>
    </comment>
    <comment ref="C56" authorId="0">
      <text>
        <r>
          <rPr>
            <b/>
            <sz val="8"/>
            <rFont val="Tahoma"/>
            <family val="2"/>
          </rPr>
          <t xml:space="preserve">This should be set in the DNS server to return IP addresses of the two routers in the management network.
These routers will be used to determine if a failure to communicate to mate is caused by the local host or by the mate host.
The name is defaulted to be "brokerems-&lt;site id&gt;.&lt;domain&gt;", but this may be overridden (overtyped) if your installation requires it.
</t>
        </r>
      </text>
    </comment>
    <comment ref="C3" authorId="0">
      <text>
        <r>
          <rPr>
            <b/>
            <sz val="8"/>
            <rFont val="Tahoma"/>
            <family val="2"/>
          </rPr>
          <t>Identify the Company Name of the customer for this installation.</t>
        </r>
      </text>
    </comment>
    <comment ref="C4" authorId="0">
      <text>
        <r>
          <rPr>
            <b/>
            <sz val="8"/>
            <rFont val="Tahoma"/>
            <family val="2"/>
          </rPr>
          <t>Identify the customer Contact Person for possible later reference.</t>
        </r>
      </text>
    </comment>
    <comment ref="C6" authorId="0">
      <text>
        <r>
          <rPr>
            <b/>
            <sz val="8"/>
            <rFont val="Tahoma"/>
            <family val="2"/>
          </rPr>
          <t>Identify the person preparing this data.</t>
        </r>
      </text>
    </comment>
    <comment ref="C7" authorId="0">
      <text>
        <r>
          <rPr>
            <b/>
            <sz val="8"/>
            <rFont val="Tahoma"/>
            <family val="2"/>
          </rPr>
          <t>Identify the software release of the BTS proposed for the initial installation.</t>
        </r>
      </text>
    </comment>
    <comment ref="C8" authorId="0">
      <text>
        <r>
          <rPr>
            <b/>
            <sz val="8"/>
            <rFont val="Tahoma"/>
            <family val="2"/>
          </rPr>
          <t>Enter the initial date of preparation (or date of modification).</t>
        </r>
      </text>
    </comment>
    <comment ref="C33" authorId="0">
      <text>
        <r>
          <rPr>
            <b/>
            <sz val="8"/>
            <rFont val="Tahoma"/>
            <family val="2"/>
          </rPr>
          <t>BTS Application Host Name.</t>
        </r>
        <r>
          <rPr>
            <b/>
            <sz val="2"/>
            <rFont val="Tahoma"/>
            <family val="2"/>
          </rPr>
          <t xml:space="preserve">
</t>
        </r>
        <r>
          <rPr>
            <b/>
            <sz val="8"/>
            <rFont val="Tahoma"/>
            <family val="2"/>
          </rPr>
          <t xml:space="preserve">These host names are used for communication between the applications of the BTS 10200 system whether it be in duplex or simplex mode. </t>
        </r>
      </text>
    </comment>
    <comment ref="D23" authorId="0">
      <text>
        <r>
          <rPr>
            <b/>
            <sz val="8"/>
            <rFont val="Tahoma"/>
            <family val="2"/>
          </rPr>
          <t>IP address of the second management network router.  Enter the 4th octet … the subnet is taken from the management network subnet(s) above.</t>
        </r>
        <r>
          <rPr>
            <b/>
            <sz val="2"/>
            <rFont val="Tahoma"/>
            <family val="2"/>
          </rPr>
          <t xml:space="preserve">
</t>
        </r>
        <r>
          <rPr>
            <b/>
            <sz val="8"/>
            <rFont val="Tahoma"/>
            <family val="2"/>
          </rPr>
          <t>These addresses are used for redundancy and switchover operations.</t>
        </r>
      </text>
    </comment>
    <comment ref="D22" authorId="0">
      <text>
        <r>
          <rPr>
            <b/>
            <sz val="8"/>
            <rFont val="Tahoma"/>
            <family val="2"/>
          </rPr>
          <t>IP address of the first management network router.  Enter the 4th octet … the subnet is taken from the management network subnet(s) above.</t>
        </r>
        <r>
          <rPr>
            <b/>
            <sz val="2"/>
            <rFont val="Tahoma"/>
            <family val="2"/>
          </rPr>
          <t xml:space="preserve">
</t>
        </r>
        <r>
          <rPr>
            <b/>
            <sz val="8"/>
            <rFont val="Tahoma"/>
            <family val="2"/>
          </rPr>
          <t>These addresses are used for redundancy and switchover operations.</t>
        </r>
      </text>
    </comment>
    <comment ref="D28" authorId="0">
      <text>
        <r>
          <rPr>
            <b/>
            <sz val="8"/>
            <rFont val="Tahoma"/>
            <family val="2"/>
          </rPr>
          <t>IP address of the first signaling network router.  Enter the 4th octet … the subnet is taken from the management network subnet(s) above.</t>
        </r>
        <r>
          <rPr>
            <b/>
            <sz val="2"/>
            <rFont val="Tahoma"/>
            <family val="2"/>
          </rPr>
          <t xml:space="preserve">
</t>
        </r>
        <r>
          <rPr>
            <b/>
            <sz val="8"/>
            <rFont val="Tahoma"/>
            <family val="2"/>
          </rPr>
          <t>These addresses are used for redundancy and switchover operations.</t>
        </r>
      </text>
    </comment>
    <comment ref="C55" authorId="0">
      <text>
        <r>
          <rPr>
            <b/>
            <sz val="8"/>
            <rFont val="Tahoma"/>
            <family val="2"/>
          </rPr>
          <t xml:space="preserve">This should be set in the DNS server to return IP addresses of the two routers in the signaling networks.
These routers will be used to determine if a failure to communicate to mate is caused by the local host or by the mate host. 
The name is defaulted to be "broker-&lt;site id&gt;.&lt;domain&gt;", but this may be overridden (overtyped) if your installation requires it.
</t>
        </r>
      </text>
    </comment>
    <comment ref="D29" authorId="0">
      <text>
        <r>
          <rPr>
            <b/>
            <sz val="8"/>
            <rFont val="Tahoma"/>
            <family val="2"/>
          </rPr>
          <t>IP address of the second signaling network router.  Enter the 4th octet … the subnet is taken from the management network subnet(s) above.</t>
        </r>
        <r>
          <rPr>
            <b/>
            <sz val="2"/>
            <rFont val="Tahoma"/>
            <family val="2"/>
          </rPr>
          <t xml:space="preserve">
</t>
        </r>
        <r>
          <rPr>
            <b/>
            <sz val="8"/>
            <rFont val="Tahoma"/>
            <family val="2"/>
          </rPr>
          <t>These addresses are used for redundancy and switchover operations.</t>
        </r>
      </text>
    </comment>
    <comment ref="C54" authorId="0">
      <text>
        <r>
          <rPr>
            <b/>
            <u val="single"/>
            <sz val="8"/>
            <rFont val="Tahoma"/>
            <family val="2"/>
          </rPr>
          <t>Application  Instance  Numbers</t>
        </r>
        <r>
          <rPr>
            <b/>
            <sz val="2"/>
            <rFont val="Tahoma"/>
            <family val="2"/>
          </rPr>
          <t xml:space="preserve">
</t>
        </r>
        <r>
          <rPr>
            <b/>
            <sz val="8"/>
            <rFont val="Tahoma"/>
            <family val="2"/>
          </rPr>
          <t xml:space="preserve">Enter the instance numbers for the CA, FSPTC and FSAIN. The default instances for the opticall.cfg file are CA=146, FSAIN=205 and FSPTC=235.  Modify these as necessary to match the instances required for your Cisco BTS 10200 Softswitch.
</t>
        </r>
        <r>
          <rPr>
            <b/>
            <sz val="8"/>
            <color indexed="10"/>
            <rFont val="Tahoma"/>
            <family val="2"/>
          </rPr>
          <t>Note: The instance numbers must be unique for CA, FSPTC, and FSAIN.</t>
        </r>
        <r>
          <rPr>
            <b/>
            <sz val="2"/>
            <rFont val="Tahoma"/>
            <family val="2"/>
          </rPr>
          <t xml:space="preserve">
</t>
        </r>
        <r>
          <rPr>
            <b/>
            <sz val="8"/>
            <rFont val="Tahoma"/>
            <family val="2"/>
          </rPr>
          <t>(If you are reinstalling software on an in-service system, or if you are upgrading software on an existing system, DO NOT edit any of these APPLICATION  INSTANCE  parameters. If any of these are changed, traffic interruptions will occur.)</t>
        </r>
      </text>
    </comment>
    <comment ref="C44" authorId="0">
      <text>
        <r>
          <rPr>
            <b/>
            <sz val="8"/>
            <rFont val="Tahoma"/>
            <family val="2"/>
          </rPr>
          <t>This flag will guide installation process to enable or disable H.323 processes.</t>
        </r>
        <r>
          <rPr>
            <b/>
            <u val="single"/>
            <sz val="8"/>
            <rFont val="Tahoma"/>
            <family val="2"/>
          </rPr>
          <t xml:space="preserve">
</t>
        </r>
      </text>
    </comment>
    <comment ref="C45" authorId="0">
      <text>
        <r>
          <rPr>
            <b/>
            <sz val="8"/>
            <rFont val="Tahoma"/>
            <family val="2"/>
          </rPr>
          <t xml:space="preserve">This flag will guide installation process to enable or disable
Domain Name Server process (named) to suit customer's needs.
Valid values are: 
</t>
        </r>
        <r>
          <rPr>
            <b/>
            <u val="single"/>
            <sz val="8"/>
            <rFont val="Tahoma"/>
            <family val="2"/>
          </rPr>
          <t>n</t>
        </r>
        <r>
          <rPr>
            <b/>
            <sz val="8"/>
            <rFont val="Tahoma"/>
            <family val="2"/>
          </rPr>
          <t xml:space="preserve">                     : (default) do not start up the named process .
</t>
        </r>
        <r>
          <rPr>
            <b/>
            <u val="single"/>
            <sz val="8"/>
            <rFont val="Tahoma"/>
            <family val="2"/>
          </rPr>
          <t>cache_only</t>
        </r>
        <r>
          <rPr>
            <b/>
            <sz val="8"/>
            <rFont val="Tahoma"/>
            <family val="2"/>
          </rPr>
          <t xml:space="preserve">  : start up the named process as cache server only
</t>
        </r>
        <r>
          <rPr>
            <b/>
            <u val="single"/>
            <sz val="8"/>
            <rFont val="Tahoma"/>
            <family val="2"/>
          </rPr>
          <t>secondary_dns_all_hosts</t>
        </r>
        <r>
          <rPr>
            <b/>
            <sz val="8"/>
            <rFont val="Tahoma"/>
            <family val="2"/>
          </rPr>
          <t xml:space="preserve">    : start up the named process as internal secondary authoritative DNS server in all BTS hosts in this system.                                      
</t>
        </r>
        <r>
          <rPr>
            <b/>
            <u val="single"/>
            <sz val="8"/>
            <rFont val="Tahoma"/>
            <family val="2"/>
          </rPr>
          <t>secondary_dns_CA_only</t>
        </r>
        <r>
          <rPr>
            <b/>
            <sz val="8"/>
            <rFont val="Tahoma"/>
            <family val="2"/>
          </rPr>
          <t xml:space="preserve">     : start up the named process as internal secondary authoritative DNS server in CA hosts only.
</t>
        </r>
      </text>
    </comment>
    <comment ref="C47" authorId="0">
      <text>
        <r>
          <rPr>
            <b/>
            <sz val="8"/>
            <rFont val="Tahoma"/>
            <family val="2"/>
          </rPr>
          <t>This flag will enable/disable the following processes related to SS7 call processing at the time that each application platform is installed:</t>
        </r>
        <r>
          <rPr>
            <b/>
            <sz val="2"/>
            <rFont val="Tahoma"/>
            <family val="2"/>
          </rPr>
          <t xml:space="preserve">
</t>
        </r>
        <r>
          <rPr>
            <b/>
            <sz val="8"/>
            <rFont val="Tahoma"/>
            <family val="2"/>
          </rPr>
          <t>1. SGA in Call Agent
2. TSA in Feature Server POTS
3. TSA in Feature Server AIN</t>
        </r>
      </text>
    </comment>
    <comment ref="C48" authorId="0">
      <text>
        <r>
          <rPr>
            <b/>
            <sz val="8"/>
            <rFont val="Tahoma"/>
            <family val="2"/>
          </rPr>
          <t>This flag will enabled/disable the PacketCable Security feature.</t>
        </r>
      </text>
    </comment>
    <comment ref="C49" authorId="0">
      <text>
        <r>
          <rPr>
            <b/>
            <u val="single"/>
            <sz val="8"/>
            <rFont val="Tahoma"/>
            <family val="2"/>
          </rPr>
          <t>Guides the installation on which mem.cfg to use:</t>
        </r>
        <r>
          <rPr>
            <b/>
            <u val="single"/>
            <sz val="3"/>
            <rFont val="Tahoma"/>
            <family val="2"/>
          </rPr>
          <t xml:space="preserve">
</t>
        </r>
        <r>
          <rPr>
            <b/>
            <sz val="3"/>
            <rFont val="Tahoma"/>
            <family val="2"/>
          </rPr>
          <t xml:space="preserve">
</t>
        </r>
        <r>
          <rPr>
            <b/>
            <sz val="8"/>
            <rFont val="Tahoma"/>
            <family val="0"/>
          </rPr>
          <t xml:space="preserve">The allowable values are "small", "medium4G", "medium", "demo", "router", "localLnp", "cableM", "cableL" and "mgc".
 if the flag is "small", it will point to small size mem.cfg
 if the flag is "medium4G", it will point to medium size mem.cfg which requires 4G of memory
 if the flag is "medium", it will point to medium size mem.cfg which requires 8G of memory
 if the flag is "demo", it will use a mem.cfg for demo and lab use only
 if the flag is "router", it will use a mem.cfg for route server
 if the flag is "localLnp", it will use a mem.cfg which supports local LNP
 with onboard LNP database (DN2GN table)
 if the flag is "cableM", it will point to a large size mem.cfg which supports up to 150k subscribers  and needs at least 8G of memory.
 if the flag is "cableL", it will point to a very large size mem.cfg which supports up to  200k subscribers and needs at least 16G of memory.
 if the flag is "mgc", it will point to a mem.cfg tailored to function as a PSTN Gateway.
</t>
        </r>
      </text>
    </comment>
    <comment ref="C50" authorId="0">
      <text>
        <r>
          <rPr>
            <b/>
            <u val="single"/>
            <sz val="8"/>
            <rFont val="Tahoma"/>
            <family val="2"/>
          </rPr>
          <t xml:space="preserve">Five hardware configurations are supported:
</t>
        </r>
        <r>
          <rPr>
            <b/>
            <sz val="2"/>
            <rFont val="Tahoma"/>
            <family val="2"/>
          </rPr>
          <t xml:space="preserve">
</t>
        </r>
        <r>
          <rPr>
            <b/>
            <sz val="8"/>
            <rFont val="Tahoma"/>
            <family val="2"/>
          </rPr>
          <t xml:space="preserve">1:   CA/FSAIN/FSPTC - on one host machine
      EM - on another host machine
 </t>
        </r>
        <r>
          <rPr>
            <b/>
            <sz val="8"/>
            <color indexed="10"/>
            <rFont val="Tahoma"/>
            <family val="2"/>
          </rPr>
          <t xml:space="preserve">  </t>
        </r>
        <r>
          <rPr>
            <b/>
            <u val="single"/>
            <sz val="8"/>
            <color indexed="10"/>
            <rFont val="Tahoma"/>
            <family val="2"/>
          </rPr>
          <t>(Default and only choice at this moment is "1")</t>
        </r>
        <r>
          <rPr>
            <b/>
            <sz val="8"/>
            <rFont val="Tahoma"/>
            <family val="2"/>
          </rPr>
          <t xml:space="preserve">
2:   CA/FSAIN  - on one host machine
      FSPTC - on a 2nd host machine
      EM  - on a 3rd host machine
3:   CA/FSPTC - on one host machine
      FSAIN - on a 2nd host machine
      EM - on a 3rd host machine
4:   CA - on one host machine
      FSPTC/FSAIN - on a 2nd host machine
      EM - on a 3rd host machine
5:   CA - on one host machine
      FSPTC - on a 2nd host machine
      FSAIN - on a 3rd host machine
      EM - on a 4th host machine
</t>
        </r>
      </text>
    </comment>
    <comment ref="C21" authorId="0">
      <text>
        <r>
          <rPr>
            <b/>
            <sz val="8"/>
            <rFont val="Tahoma"/>
            <family val="2"/>
          </rPr>
          <t>Subnet mask for this network.</t>
        </r>
        <r>
          <rPr>
            <b/>
            <sz val="2"/>
            <rFont val="Tahoma"/>
            <family val="2"/>
          </rPr>
          <t xml:space="preserve">
</t>
        </r>
        <r>
          <rPr>
            <b/>
            <u val="single"/>
            <sz val="8"/>
            <rFont val="Tahoma"/>
            <family val="2"/>
          </rPr>
          <t>Note:</t>
        </r>
        <r>
          <rPr>
            <b/>
            <sz val="8"/>
            <rFont val="Tahoma"/>
            <family val="2"/>
          </rPr>
          <t xml:space="preserve"> Valid subnet masks for 24 to 30 bit subnets are:
/24 = 255.255.255.0
/25 = 255.255.255.128
/26 = 255.255.255.192
/27 = 255.255.255.224
/28 = 255.255.255.240
/29 = 255.255.255.248
/30 = 255.255.255.252
</t>
        </r>
        <r>
          <rPr>
            <b/>
            <u val="single"/>
            <sz val="8"/>
            <rFont val="Tahoma"/>
            <family val="2"/>
          </rPr>
          <t>Note 2:</t>
        </r>
        <r>
          <rPr>
            <b/>
            <sz val="8"/>
            <rFont val="Tahoma"/>
            <family val="2"/>
          </rPr>
          <t xml:space="preserve"> If your netmasks are different from "255.255.255.0"  you must manually edit the  "/tmp/netmask"  file after you run hostgen.sh, otherwise the netmask will NOT be setup correctly.
</t>
        </r>
      </text>
    </comment>
    <comment ref="C26" authorId="0">
      <text>
        <r>
          <rPr>
            <b/>
            <sz val="8"/>
            <rFont val="Tahoma"/>
            <family val="2"/>
          </rPr>
          <t>Subnet mask for this network.</t>
        </r>
        <r>
          <rPr>
            <b/>
            <sz val="2"/>
            <rFont val="Tahoma"/>
            <family val="2"/>
          </rPr>
          <t xml:space="preserve">
</t>
        </r>
        <r>
          <rPr>
            <b/>
            <u val="single"/>
            <sz val="8"/>
            <rFont val="Tahoma"/>
            <family val="2"/>
          </rPr>
          <t>Note:</t>
        </r>
        <r>
          <rPr>
            <b/>
            <sz val="8"/>
            <rFont val="Tahoma"/>
            <family val="2"/>
          </rPr>
          <t xml:space="preserve"> Valid subnet masks for 24 to 30 bit subnets are:
/24 = 255.255.255.0
/25 = 255.255.255.128
/26 = 255.255.255.192
/27 = 255.255.255.224
/28 = 255.255.255.240
/29 = 255.255.255.248
/30 = 255.255.255.252
</t>
        </r>
        <r>
          <rPr>
            <b/>
            <u val="single"/>
            <sz val="8"/>
            <rFont val="Tahoma"/>
            <family val="2"/>
          </rPr>
          <t>Note 2:</t>
        </r>
        <r>
          <rPr>
            <b/>
            <sz val="8"/>
            <rFont val="Tahoma"/>
            <family val="2"/>
          </rPr>
          <t xml:space="preserve"> If your netmasks are different from "255.255.255.0"  you must manually edit the  "/tmp/netmask"  file after you run hostgen.sh, otherwise the netmask will NOT be setup correctly.
</t>
        </r>
      </text>
    </comment>
    <comment ref="C27" authorId="0">
      <text>
        <r>
          <rPr>
            <b/>
            <sz val="8"/>
            <rFont val="Tahoma"/>
            <family val="2"/>
          </rPr>
          <t>Subnet mask for this network.</t>
        </r>
        <r>
          <rPr>
            <b/>
            <sz val="2"/>
            <rFont val="Tahoma"/>
            <family val="2"/>
          </rPr>
          <t xml:space="preserve">
</t>
        </r>
        <r>
          <rPr>
            <b/>
            <u val="single"/>
            <sz val="8"/>
            <rFont val="Tahoma"/>
            <family val="2"/>
          </rPr>
          <t>Note:</t>
        </r>
        <r>
          <rPr>
            <b/>
            <sz val="8"/>
            <rFont val="Tahoma"/>
            <family val="2"/>
          </rPr>
          <t xml:space="preserve"> Valid subnet masks for 24 to 30 bit subnets are:
/24 = 255.255.255.0
/25 = 255.255.255.128
/26 = 255.255.255.192
/27 = 255.255.255.224
/28 = 255.255.255.240
/29 = 255.255.255.248
/30 = 255.255.255.252
</t>
        </r>
        <r>
          <rPr>
            <b/>
            <u val="single"/>
            <sz val="8"/>
            <rFont val="Tahoma"/>
            <family val="2"/>
          </rPr>
          <t>Note 2:</t>
        </r>
        <r>
          <rPr>
            <b/>
            <sz val="8"/>
            <rFont val="Tahoma"/>
            <family val="2"/>
          </rPr>
          <t xml:space="preserve"> If your netmasks are different from "255.255.255.0"  you must manually edit the  "/tmp/netmask"  file after you run hostgen.sh, otherwise the netmask will NOT be setup correctly.
</t>
        </r>
      </text>
    </comment>
    <comment ref="C36" authorId="0">
      <text>
        <r>
          <rPr>
            <b/>
            <sz val="8"/>
            <rFont val="Tahoma"/>
            <family val="2"/>
          </rPr>
          <t>Identity of the Sun Hardware interface card/position to be used for this interface role.</t>
        </r>
      </text>
    </comment>
    <comment ref="C37" authorId="0">
      <text>
        <r>
          <rPr>
            <b/>
            <sz val="8"/>
            <rFont val="Tahoma"/>
            <family val="2"/>
          </rPr>
          <t>Identity of the Sun Hardware interface card/position to be used for this interface role.</t>
        </r>
      </text>
    </comment>
    <comment ref="C38" authorId="0">
      <text>
        <r>
          <rPr>
            <b/>
            <sz val="8"/>
            <rFont val="Tahoma"/>
            <family val="2"/>
          </rPr>
          <t>Identity of the Sun Hardware interface card/position to be used for this interface role.</t>
        </r>
      </text>
    </comment>
    <comment ref="C39" authorId="0">
      <text>
        <r>
          <rPr>
            <b/>
            <sz val="8"/>
            <rFont val="Tahoma"/>
            <family val="2"/>
          </rPr>
          <t>Identity of the Sun Hardware interface card/position to be used for this interface role.</t>
        </r>
      </text>
    </comment>
    <comment ref="C31" authorId="0">
      <text>
        <r>
          <rPr>
            <b/>
            <sz val="8"/>
            <rFont val="Tahoma"/>
            <family val="2"/>
          </rPr>
          <t>BTS Application Host Name.</t>
        </r>
        <r>
          <rPr>
            <b/>
            <sz val="2"/>
            <rFont val="Tahoma"/>
            <family val="2"/>
          </rPr>
          <t xml:space="preserve">
</t>
        </r>
        <r>
          <rPr>
            <b/>
            <sz val="8"/>
            <rFont val="Tahoma"/>
            <family val="2"/>
          </rPr>
          <t xml:space="preserve">These host names are used for communication between the applications of the BTS 10200 system whether it be in duplex or simplex mode. </t>
        </r>
      </text>
    </comment>
    <comment ref="C32" authorId="0">
      <text>
        <r>
          <rPr>
            <b/>
            <sz val="8"/>
            <rFont val="Tahoma"/>
            <family val="2"/>
          </rPr>
          <t>BTS Application Host Name.</t>
        </r>
        <r>
          <rPr>
            <b/>
            <sz val="2"/>
            <rFont val="Tahoma"/>
            <family val="2"/>
          </rPr>
          <t xml:space="preserve">
</t>
        </r>
        <r>
          <rPr>
            <b/>
            <sz val="8"/>
            <rFont val="Tahoma"/>
            <family val="2"/>
          </rPr>
          <t xml:space="preserve">These host names are used for communication between the applications of the BTS 10200 system whether it be in duplex or simplex mode. </t>
        </r>
      </text>
    </comment>
    <comment ref="C34" authorId="0">
      <text>
        <r>
          <rPr>
            <b/>
            <sz val="8"/>
            <rFont val="Tahoma"/>
            <family val="2"/>
          </rPr>
          <t>BTS Application Host Name.</t>
        </r>
        <r>
          <rPr>
            <b/>
            <sz val="2"/>
            <rFont val="Tahoma"/>
            <family val="2"/>
          </rPr>
          <t xml:space="preserve">
</t>
        </r>
        <r>
          <rPr>
            <b/>
            <sz val="8"/>
            <rFont val="Tahoma"/>
            <family val="2"/>
          </rPr>
          <t xml:space="preserve">These host names are used for communication between the applications of the BTS 10200 system whether it be in duplex or simplex mode. </t>
        </r>
      </text>
    </comment>
    <comment ref="C35" authorId="0">
      <text>
        <r>
          <rPr>
            <b/>
            <sz val="8"/>
            <rFont val="Tahoma"/>
            <family val="2"/>
          </rPr>
          <t>The first two octets for the BTS internal communication IP addresses.</t>
        </r>
        <r>
          <rPr>
            <b/>
            <sz val="2"/>
            <rFont val="Tahoma"/>
            <family val="2"/>
          </rPr>
          <t xml:space="preserve">
</t>
        </r>
        <r>
          <rPr>
            <b/>
            <u val="single"/>
            <sz val="8"/>
            <rFont val="Tahoma"/>
            <family val="2"/>
          </rPr>
          <t>Note:</t>
        </r>
        <r>
          <rPr>
            <b/>
            <sz val="8"/>
            <rFont val="Tahoma"/>
            <family val="2"/>
          </rPr>
          <t xml:space="preserve"> Do NOT enter a period "." after the second octet.</t>
        </r>
      </text>
    </comment>
    <comment ref="C52" authorId="0">
      <text>
        <r>
          <rPr>
            <b/>
            <u val="single"/>
            <sz val="8"/>
            <rFont val="Tahoma"/>
            <family val="2"/>
          </rPr>
          <t>Application  Instance  Numbers</t>
        </r>
        <r>
          <rPr>
            <b/>
            <sz val="2"/>
            <rFont val="Tahoma"/>
            <family val="2"/>
          </rPr>
          <t xml:space="preserve">
</t>
        </r>
        <r>
          <rPr>
            <b/>
            <sz val="8"/>
            <rFont val="Tahoma"/>
            <family val="2"/>
          </rPr>
          <t xml:space="preserve">Enter the instance numbers for the CA, FSPTC and FSAIN. The default instances for the opticall.cfg file are CA=146, FSAIN=205 and FSPTC=235.  Modify these as necessary to match the instances required for your Cisco BTS 10200 Softswitch.
</t>
        </r>
        <r>
          <rPr>
            <b/>
            <sz val="8"/>
            <color indexed="10"/>
            <rFont val="Tahoma"/>
            <family val="2"/>
          </rPr>
          <t>NOTE: The instance numbers must be unique for CA, FSPTC, and FSAIN.</t>
        </r>
        <r>
          <rPr>
            <b/>
            <sz val="2"/>
            <rFont val="Tahoma"/>
            <family val="2"/>
          </rPr>
          <t xml:space="preserve">
</t>
        </r>
        <r>
          <rPr>
            <b/>
            <sz val="8"/>
            <rFont val="Tahoma"/>
            <family val="2"/>
          </rPr>
          <t>(If you are reinstalling software on an in-service system, or if you are upgrading software on an existing system, DO NOT edit any of these APPLICATION  INSTANCE  parameters. If any of these are changed, traffic interruptions will occur.)</t>
        </r>
      </text>
    </comment>
    <comment ref="C53" authorId="0">
      <text>
        <r>
          <rPr>
            <b/>
            <u val="single"/>
            <sz val="8"/>
            <rFont val="Tahoma"/>
            <family val="2"/>
          </rPr>
          <t>Application  Instance  Numbers</t>
        </r>
        <r>
          <rPr>
            <b/>
            <sz val="2"/>
            <rFont val="Tahoma"/>
            <family val="2"/>
          </rPr>
          <t xml:space="preserve">
</t>
        </r>
        <r>
          <rPr>
            <b/>
            <sz val="8"/>
            <rFont val="Tahoma"/>
            <family val="2"/>
          </rPr>
          <t xml:space="preserve">Enter the instance numbers for the CA, FSPTC and FSAIN. The default instances for the opticall.cfg file are CA=146, FSAIN=205 and FSPTC=235.  Modify these as necessary to match the instances required for your Cisco BTS 10200 Softswitch.
</t>
        </r>
        <r>
          <rPr>
            <b/>
            <sz val="8"/>
            <color indexed="10"/>
            <rFont val="Tahoma"/>
            <family val="2"/>
          </rPr>
          <t>Note: The instance numbers must be unique for CA, FSPTC, and FSAIN.</t>
        </r>
        <r>
          <rPr>
            <b/>
            <sz val="2"/>
            <rFont val="Tahoma"/>
            <family val="2"/>
          </rPr>
          <t xml:space="preserve">
</t>
        </r>
        <r>
          <rPr>
            <b/>
            <sz val="8"/>
            <rFont val="Tahoma"/>
            <family val="2"/>
          </rPr>
          <t>(If you are reinstalling software on an in-service system, or if you are upgrading software on an existing system, DO NOT edit any of these APPLICATION  INSTANCE  parameters. If any of these are changed, traffic interruptions will occur.)</t>
        </r>
      </text>
    </comment>
    <comment ref="C46" authorId="0">
      <text>
        <r>
          <rPr>
            <b/>
            <u val="single"/>
            <sz val="8"/>
            <rFont val="Tahoma"/>
            <family val="2"/>
          </rPr>
          <t>Indicates the customer/market type:</t>
        </r>
        <r>
          <rPr>
            <b/>
            <u val="single"/>
            <sz val="3"/>
            <rFont val="Tahoma"/>
            <family val="2"/>
          </rPr>
          <t xml:space="preserve">
</t>
        </r>
        <r>
          <rPr>
            <b/>
            <sz val="3"/>
            <rFont val="Tahoma"/>
            <family val="2"/>
          </rPr>
          <t xml:space="preserve">
</t>
        </r>
        <r>
          <rPr>
            <b/>
            <sz val="8"/>
            <rFont val="Tahoma"/>
            <family val="2"/>
          </rPr>
          <t xml:space="preserve">This flag determine what nscd (local cache) configuration to use. </t>
        </r>
        <r>
          <rPr>
            <b/>
            <sz val="8"/>
            <rFont val="Tahoma"/>
            <family val="0"/>
          </rPr>
          <t>The allowable values are "CABLE" and "T1":</t>
        </r>
        <r>
          <rPr>
            <b/>
            <sz val="3"/>
            <rFont val="Tahoma"/>
            <family val="2"/>
          </rPr>
          <t xml:space="preserve">
</t>
        </r>
        <r>
          <rPr>
            <b/>
            <sz val="8"/>
            <rFont val="Tahoma"/>
            <family val="2"/>
          </rPr>
          <t xml:space="preserve">  CABLE:  Large universes of DHCP assigned IP addresses.
  T1:         Mostly fixed assignment IP addresses such as IADs and
                 few or no DHCP assigned addresses.  
</t>
        </r>
      </text>
    </comment>
    <comment ref="C183" authorId="0">
      <text>
        <r>
          <rPr>
            <b/>
            <sz val="8"/>
            <rFont val="Tahoma"/>
            <family val="2"/>
          </rPr>
          <t>Identifies the name of the external CallAgent trace log archive system.</t>
        </r>
      </text>
    </comment>
    <comment ref="C184" authorId="0">
      <text>
        <r>
          <rPr>
            <b/>
            <sz val="8"/>
            <rFont val="Tahoma"/>
            <family val="2"/>
          </rPr>
          <t>Full path name of the directory used to store the CallAgent trace  log files.</t>
        </r>
      </text>
    </comment>
    <comment ref="C185" authorId="0">
      <text>
        <r>
          <rPr>
            <b/>
            <sz val="8"/>
            <rFont val="Tahoma"/>
            <family val="2"/>
          </rPr>
          <t>This value presents the disk quota in Gigabytes reserved for the trace log files of the CallAgent on the archive system.</t>
        </r>
      </text>
    </comment>
    <comment ref="C187" authorId="0">
      <text>
        <r>
          <rPr>
            <b/>
            <sz val="8"/>
            <rFont val="Tahoma"/>
            <family val="2"/>
          </rPr>
          <t>Full path name of the directory used to store the FSPTC  trace log files.</t>
        </r>
      </text>
    </comment>
    <comment ref="C188" authorId="0">
      <text>
        <r>
          <rPr>
            <b/>
            <sz val="8"/>
            <rFont val="Tahoma"/>
            <family val="2"/>
          </rPr>
          <t>This value presents the disk quota in Gigabytes reserved for the FSPTC trace log files on the archive system.</t>
        </r>
      </text>
    </comment>
    <comment ref="C186" authorId="0">
      <text>
        <r>
          <rPr>
            <b/>
            <sz val="8"/>
            <rFont val="Tahoma"/>
            <family val="2"/>
          </rPr>
          <t>Identifies the name of the external FSPTC trace log archive system.</t>
        </r>
      </text>
    </comment>
    <comment ref="C190" authorId="0">
      <text>
        <r>
          <rPr>
            <b/>
            <sz val="8"/>
            <rFont val="Tahoma"/>
            <family val="2"/>
          </rPr>
          <t>Full path name of the directory used to store the FSAIN trace log files.</t>
        </r>
      </text>
    </comment>
    <comment ref="C191" authorId="0">
      <text>
        <r>
          <rPr>
            <b/>
            <sz val="8"/>
            <rFont val="Tahoma"/>
            <family val="2"/>
          </rPr>
          <t>This value presents the disk quota in Gigabytes reserved for the FSAIN trace log files on the archive system.</t>
        </r>
      </text>
    </comment>
    <comment ref="C189" authorId="0">
      <text>
        <r>
          <rPr>
            <b/>
            <sz val="8"/>
            <rFont val="Tahoma"/>
            <family val="2"/>
          </rPr>
          <t>Identifies the name of the external FSAIN trace log archive system.</t>
        </r>
      </text>
    </comment>
    <comment ref="C193" authorId="0">
      <text>
        <r>
          <rPr>
            <b/>
            <sz val="8"/>
            <rFont val="Tahoma"/>
            <family val="2"/>
          </rPr>
          <t>Full path name of the directory used to store the EMS trace  log files.</t>
        </r>
      </text>
    </comment>
    <comment ref="C194" authorId="0">
      <text>
        <r>
          <rPr>
            <b/>
            <sz val="8"/>
            <rFont val="Tahoma"/>
            <family val="2"/>
          </rPr>
          <t>This value presents the disk quota in Gigabytes reserved for the EMS trace log files on the archive system.</t>
        </r>
      </text>
    </comment>
    <comment ref="C192" authorId="0">
      <text>
        <r>
          <rPr>
            <b/>
            <sz val="8"/>
            <rFont val="Tahoma"/>
            <family val="2"/>
          </rPr>
          <t>Identifies the name of the external EMS tarce log archive system.</t>
        </r>
      </text>
    </comment>
    <comment ref="C196" authorId="0">
      <text>
        <r>
          <rPr>
            <b/>
            <sz val="8"/>
            <rFont val="Tahoma"/>
            <family val="2"/>
          </rPr>
          <t>Full path name of the directory used to store the BDMS trace log files.</t>
        </r>
      </text>
    </comment>
    <comment ref="C197" authorId="0">
      <text>
        <r>
          <rPr>
            <b/>
            <sz val="8"/>
            <rFont val="Tahoma"/>
            <family val="2"/>
          </rPr>
          <t>This value presents the disk quota in Gigabytes reserved for the BDMS trace log files on the archive system.</t>
        </r>
      </text>
    </comment>
    <comment ref="C195" authorId="0">
      <text>
        <r>
          <rPr>
            <b/>
            <sz val="8"/>
            <rFont val="Tahoma"/>
            <family val="2"/>
          </rPr>
          <t>Identifies the name of the external BDMS trace log archive system.</t>
        </r>
      </text>
    </comment>
    <comment ref="C181" authorId="1">
      <text>
        <r>
          <rPr>
            <b/>
            <sz val="8"/>
            <rFont val="Tahoma"/>
            <family val="2"/>
          </rPr>
          <t>Leaving all fields blank will void this feature. Similarly, if the LAF feature is not used for a given platform, leave blank the 3 parameters supporting the feature on that given platform.</t>
        </r>
        <r>
          <rPr>
            <sz val="8"/>
            <rFont val="Tahoma"/>
            <family val="0"/>
          </rPr>
          <t xml:space="preserve">
</t>
        </r>
      </text>
    </comment>
    <comment ref="C200" authorId="0">
      <text>
        <r>
          <rPr>
            <b/>
            <sz val="8"/>
            <rFont val="Tahoma"/>
            <family val="2"/>
          </rPr>
          <t xml:space="preserve">This flag will determine whether NSCD will be enabled or disabled in the system. </t>
        </r>
        <r>
          <rPr>
            <b/>
            <u val="single"/>
            <sz val="8"/>
            <rFont val="Tahoma"/>
            <family val="2"/>
          </rPr>
          <t>Cisco recommends strongly that NSCD be enabled</t>
        </r>
        <r>
          <rPr>
            <b/>
            <sz val="8"/>
            <rFont val="Tahoma"/>
            <family val="2"/>
          </rPr>
          <t>.  Valid values are 'y' (enabled) and 'n' (disabled).</t>
        </r>
      </text>
    </comment>
    <comment ref="C203" authorId="0">
      <text>
        <r>
          <rPr>
            <b/>
            <sz val="10"/>
            <rFont val="Arial"/>
            <family val="2"/>
          </rPr>
          <t>Indicates the prefix used by the DNS_FOR_CA146_MGCP_COM name.
Valid values are "mgcp" (default) and "mga".</t>
        </r>
        <r>
          <rPr>
            <b/>
            <sz val="10"/>
            <rFont val="Roman"/>
            <family val="1"/>
          </rPr>
          <t xml:space="preserve">
</t>
        </r>
        <r>
          <rPr>
            <b/>
            <sz val="3"/>
            <rFont val="Tahoma"/>
            <family val="2"/>
          </rPr>
          <t xml:space="preserve">
</t>
        </r>
        <r>
          <rPr>
            <b/>
            <sz val="8"/>
            <rFont val="Tahoma"/>
            <family val="2"/>
          </rPr>
          <t xml:space="preserve">
</t>
        </r>
      </text>
    </comment>
    <comment ref="C182" authorId="0">
      <text>
        <r>
          <rPr>
            <b/>
            <sz val="8"/>
            <rFont val="Tahoma"/>
            <family val="2"/>
          </rPr>
          <t>This flag will determine whether LAF will be enabled or disabled in the system.  Valid values are 'y' (enabled) and 'n' (disabled).</t>
        </r>
      </text>
    </comment>
    <comment ref="C226" authorId="0">
      <text>
        <r>
          <rPr>
            <b/>
            <sz val="8"/>
            <rFont val="Tahoma"/>
            <family val="2"/>
          </rPr>
          <t>This is the setting for the time of day when the Automatic Shared
Memory Backup will be done for CA. The start time values should be staggered for each platform such that only one  platform is performing the operation at any given time.</t>
        </r>
      </text>
    </comment>
    <comment ref="C227" authorId="0">
      <text>
        <r>
          <rPr>
            <b/>
            <sz val="8"/>
            <rFont val="Tahoma"/>
            <family val="2"/>
          </rPr>
          <t>This is the setting for the time of day when the Automatic Shared
Memory Backup will be done for FSAIN. The start time values should be staggered for each platform such that only one  platform is performing the operation at any given time.</t>
        </r>
      </text>
    </comment>
    <comment ref="C228" authorId="0">
      <text>
        <r>
          <rPr>
            <b/>
            <sz val="8"/>
            <rFont val="Tahoma"/>
            <family val="2"/>
          </rPr>
          <t>This is the setting for the time of day when the Automatic Shared
Memory Backup will be done for FSPTC. The start time values should be staggered for each platform such that only one  platform is performing the operation at any given time.</t>
        </r>
      </text>
    </comment>
    <comment ref="C229" authorId="0">
      <text>
        <r>
          <rPr>
            <b/>
            <sz val="8"/>
            <rFont val="Tahoma"/>
            <family val="2"/>
          </rPr>
          <t>This is the setting for the time of day when the Automatic Shared
Memory Backup will be done for EMS. The start time values should be staggered for each platform such that only one  platform is performing the operation at any given time.</t>
        </r>
      </text>
    </comment>
    <comment ref="C230" authorId="0">
      <text>
        <r>
          <rPr>
            <b/>
            <sz val="8"/>
            <rFont val="Tahoma"/>
            <family val="2"/>
          </rPr>
          <t>This is the setting for the time of day when the Automatic Shared
Memory Backup will be done for BDMS. The start time values should be staggered for each platform such that only one  platform is performing the operation at any given time.</t>
        </r>
      </text>
    </comment>
    <comment ref="C212" authorId="0">
      <text>
        <r>
          <rPr>
            <b/>
            <sz val="8"/>
            <rFont val="Tahoma"/>
            <family val="2"/>
          </rPr>
          <t xml:space="preserve">Call Agent delay is the time in minutes that a Call Agent side will delay before doing an auto restart.  The default is 10 minutes. </t>
        </r>
      </text>
    </comment>
    <comment ref="C213" authorId="0">
      <text>
        <r>
          <rPr>
            <b/>
            <sz val="8"/>
            <rFont val="Tahoma"/>
            <family val="2"/>
          </rPr>
          <t xml:space="preserve">FSAIN delay is the time in minutes that a FSAIN side will delay before doing an auto restart.  The default is 10 minutes. </t>
        </r>
      </text>
    </comment>
    <comment ref="C214" authorId="0">
      <text>
        <r>
          <rPr>
            <b/>
            <sz val="8"/>
            <rFont val="Tahoma"/>
            <family val="2"/>
          </rPr>
          <t xml:space="preserve">FSPTC delay is the time in minutes that a FSPTC side will delay before doing an auto restart.  The default is 10 minutes. </t>
        </r>
      </text>
    </comment>
    <comment ref="C215" authorId="0">
      <text>
        <r>
          <rPr>
            <b/>
            <sz val="8"/>
            <rFont val="Tahoma"/>
            <family val="2"/>
          </rPr>
          <t xml:space="preserve">EMS delay is the time in minutes that an EMS side will delay before doing an auto restart.  The default is 10 minutes. </t>
        </r>
      </text>
    </comment>
    <comment ref="C216" authorId="0">
      <text>
        <r>
          <rPr>
            <b/>
            <sz val="8"/>
            <rFont val="Tahoma"/>
            <family val="2"/>
          </rPr>
          <t xml:space="preserve">BDMS delay is the time in minutes that a BDMS side will delay before doing an auto restart.  The default is 10 minutes. </t>
        </r>
      </text>
    </comment>
    <comment ref="C218" authorId="0">
      <text>
        <r>
          <rPr>
            <b/>
            <sz val="8"/>
            <rFont val="Tahoma"/>
            <family val="2"/>
          </rPr>
          <t>Call Agent Restart Rate is the number of times over a 30 minute period an automatic restart will be attempted by the Call Agent.  The default is 3.</t>
        </r>
      </text>
    </comment>
    <comment ref="C219" authorId="0">
      <text>
        <r>
          <rPr>
            <b/>
            <sz val="8"/>
            <rFont val="Tahoma"/>
            <family val="2"/>
          </rPr>
          <t>FSAINt Restart Rate is the number of times over a 30 minute period an automatic restart will be attempted by the FSAIN.  The default is 3.</t>
        </r>
      </text>
    </comment>
    <comment ref="C220" authorId="0">
      <text>
        <r>
          <rPr>
            <b/>
            <sz val="8"/>
            <rFont val="Tahoma"/>
            <family val="2"/>
          </rPr>
          <t>FSPTC Restart Rate is the number of times over a 30 minute period an automatic restart will be attempted by the FSPTC.  The default is 3.</t>
        </r>
      </text>
    </comment>
    <comment ref="C221" authorId="0">
      <text>
        <r>
          <rPr>
            <b/>
            <sz val="8"/>
            <rFont val="Tahoma"/>
            <family val="2"/>
          </rPr>
          <t>EMS Restart Rate is the number of times over a 30 minute period an automatic restart will be attempted by the EMS.  The default is 3.</t>
        </r>
      </text>
    </comment>
    <comment ref="C222" authorId="0">
      <text>
        <r>
          <rPr>
            <b/>
            <sz val="8"/>
            <rFont val="Tahoma"/>
            <family val="2"/>
          </rPr>
          <t>BDMS Restart Rate is the number of times over a 30 minute period an automatic restart will be attempted by the BDMS.  The default is 3.</t>
        </r>
      </text>
    </comment>
    <comment ref="B211" authorId="1">
      <text>
        <r>
          <rPr>
            <b/>
            <sz val="8"/>
            <rFont val="Tahoma"/>
            <family val="0"/>
          </rPr>
          <t>Delay is the time in minutes that a side will delay before doing an auto restart.  The default is 10 minutes. Increasing this value implies increasing the period a Network Element (CA, FS, EMS, BDMS) will run in simplex.</t>
        </r>
        <r>
          <rPr>
            <sz val="8"/>
            <rFont val="Tahoma"/>
            <family val="0"/>
          </rPr>
          <t xml:space="preserve">
</t>
        </r>
      </text>
    </comment>
    <comment ref="B217" authorId="1">
      <text>
        <r>
          <rPr>
            <b/>
            <sz val="8"/>
            <rFont val="Tahoma"/>
            <family val="0"/>
          </rPr>
          <t>Restart Rate is the number of times over a 30 minute period an automatic restart will be attempted.  The default is 3.</t>
        </r>
        <r>
          <rPr>
            <sz val="8"/>
            <rFont val="Tahoma"/>
            <family val="0"/>
          </rPr>
          <t xml:space="preserve">
</t>
        </r>
      </text>
    </comment>
    <comment ref="B225" authorId="1">
      <text>
        <r>
          <rPr>
            <b/>
            <sz val="8"/>
            <rFont val="Tahoma"/>
            <family val="0"/>
          </rPr>
          <t>This is the setting for the time of day when the Automatic Shared Memory Backup will be done for each platform.  The time should be specified in 24 hour time form 'hh:mm'.</t>
        </r>
        <r>
          <rPr>
            <sz val="8"/>
            <rFont val="Tahoma"/>
            <family val="0"/>
          </rPr>
          <t xml:space="preserve">
</t>
        </r>
      </text>
    </comment>
    <comment ref="C206" authorId="0">
      <text>
        <r>
          <rPr>
            <b/>
            <sz val="10"/>
            <rFont val="Arial"/>
            <family val="2"/>
          </rPr>
          <t xml:space="preserve">BTS supports the following FDs(Field Delimiters) used in call detailed record(CDR) of the BTS Billing File:
</t>
        </r>
        <r>
          <rPr>
            <b/>
            <u val="single"/>
            <sz val="10"/>
            <rFont val="Arial"/>
            <family val="2"/>
          </rPr>
          <t>semicolon</t>
        </r>
        <r>
          <rPr>
            <b/>
            <sz val="10"/>
            <rFont val="Arial"/>
            <family val="2"/>
          </rPr>
          <t xml:space="preserve">  or </t>
        </r>
        <r>
          <rPr>
            <b/>
            <u val="single"/>
            <sz val="10"/>
            <rFont val="Arial"/>
            <family val="2"/>
          </rPr>
          <t>semi-colon</t>
        </r>
        <r>
          <rPr>
            <b/>
            <sz val="10"/>
            <rFont val="Arial"/>
            <family val="2"/>
          </rPr>
          <t xml:space="preserve">       ;
</t>
        </r>
        <r>
          <rPr>
            <b/>
            <u val="single"/>
            <sz val="10"/>
            <rFont val="Arial"/>
            <family val="2"/>
          </rPr>
          <t>verticalbar</t>
        </r>
        <r>
          <rPr>
            <b/>
            <sz val="10"/>
            <rFont val="Arial"/>
            <family val="2"/>
          </rPr>
          <t xml:space="preserve"> or </t>
        </r>
        <r>
          <rPr>
            <b/>
            <u val="single"/>
            <sz val="10"/>
            <rFont val="Arial"/>
            <family val="2"/>
          </rPr>
          <t>vertical-bar</t>
        </r>
        <r>
          <rPr>
            <b/>
            <sz val="10"/>
            <rFont val="Arial"/>
            <family val="2"/>
          </rPr>
          <t xml:space="preserve">      |
</t>
        </r>
        <r>
          <rPr>
            <b/>
            <u val="single"/>
            <sz val="10"/>
            <rFont val="Arial"/>
            <family val="2"/>
          </rPr>
          <t xml:space="preserve">linefeed </t>
        </r>
        <r>
          <rPr>
            <b/>
            <sz val="10"/>
            <rFont val="Arial"/>
            <family val="2"/>
          </rPr>
          <t xml:space="preserve">                                \n
</t>
        </r>
        <r>
          <rPr>
            <b/>
            <u val="single"/>
            <sz val="10"/>
            <rFont val="Arial"/>
            <family val="2"/>
          </rPr>
          <t>comma</t>
        </r>
        <r>
          <rPr>
            <b/>
            <sz val="10"/>
            <rFont val="Arial"/>
            <family val="2"/>
          </rPr>
          <t xml:space="preserve">                                   ,
</t>
        </r>
        <r>
          <rPr>
            <b/>
            <u val="single"/>
            <sz val="10"/>
            <rFont val="Arial"/>
            <family val="2"/>
          </rPr>
          <t>caret</t>
        </r>
        <r>
          <rPr>
            <b/>
            <sz val="10"/>
            <rFont val="Arial"/>
            <family val="2"/>
          </rPr>
          <t xml:space="preserve">                                       ^
Note: (1)  FD's default value is semicolon(;)
          (2) FD and RD can not be the same
          (3) The install/upgrade person should configure the BILLING_FD_TYPE
               value manually before install/upgrade. If not, default value is used.</t>
        </r>
      </text>
    </comment>
    <comment ref="C207" authorId="0">
      <text>
        <r>
          <rPr>
            <b/>
            <sz val="10"/>
            <rFont val="Arial"/>
            <family val="2"/>
          </rPr>
          <t xml:space="preserve">BTS supports the following RDs (Record Delimiters) used in call detailed record (CDR) of the BTS Billing File:
</t>
        </r>
        <r>
          <rPr>
            <b/>
            <u val="single"/>
            <sz val="10"/>
            <rFont val="Arial"/>
            <family val="2"/>
          </rPr>
          <t xml:space="preserve">semicolon </t>
        </r>
        <r>
          <rPr>
            <b/>
            <sz val="10"/>
            <rFont val="Arial"/>
            <family val="2"/>
          </rPr>
          <t xml:space="preserve"> or </t>
        </r>
        <r>
          <rPr>
            <b/>
            <u val="single"/>
            <sz val="10"/>
            <rFont val="Arial"/>
            <family val="2"/>
          </rPr>
          <t>semi-colon</t>
        </r>
        <r>
          <rPr>
            <b/>
            <sz val="10"/>
            <rFont val="Arial"/>
            <family val="2"/>
          </rPr>
          <t xml:space="preserve">       ;
</t>
        </r>
        <r>
          <rPr>
            <b/>
            <u val="single"/>
            <sz val="10"/>
            <rFont val="Arial"/>
            <family val="2"/>
          </rPr>
          <t>verticalbar</t>
        </r>
        <r>
          <rPr>
            <b/>
            <sz val="10"/>
            <rFont val="Arial"/>
            <family val="2"/>
          </rPr>
          <t xml:space="preserve"> or </t>
        </r>
        <r>
          <rPr>
            <b/>
            <u val="single"/>
            <sz val="10"/>
            <rFont val="Arial"/>
            <family val="2"/>
          </rPr>
          <t>vertical-bar</t>
        </r>
        <r>
          <rPr>
            <b/>
            <sz val="10"/>
            <rFont val="Arial"/>
            <family val="2"/>
          </rPr>
          <t xml:space="preserve">      |
</t>
        </r>
        <r>
          <rPr>
            <b/>
            <u val="single"/>
            <sz val="10"/>
            <rFont val="Arial"/>
            <family val="2"/>
          </rPr>
          <t xml:space="preserve">linefeed </t>
        </r>
        <r>
          <rPr>
            <b/>
            <sz val="10"/>
            <rFont val="Arial"/>
            <family val="2"/>
          </rPr>
          <t xml:space="preserve">                                \n
</t>
        </r>
        <r>
          <rPr>
            <b/>
            <u val="single"/>
            <sz val="10"/>
            <rFont val="Arial"/>
            <family val="2"/>
          </rPr>
          <t xml:space="preserve">comma </t>
        </r>
        <r>
          <rPr>
            <b/>
            <sz val="10"/>
            <rFont val="Arial"/>
            <family val="2"/>
          </rPr>
          <t xml:space="preserve">                                  ,
</t>
        </r>
        <r>
          <rPr>
            <b/>
            <u val="single"/>
            <sz val="10"/>
            <rFont val="Arial"/>
            <family val="2"/>
          </rPr>
          <t>caret</t>
        </r>
        <r>
          <rPr>
            <b/>
            <sz val="10"/>
            <rFont val="Arial"/>
            <family val="2"/>
          </rPr>
          <t xml:space="preserve">                                       ^
Note: (1)  RD's default value is verticalbar (|)
          (2) FD and RD can not be the same
          (3) The install/upgrade person should configure the BILLING_RD_TYPE
               value manually before install/upgrade. If not, default value is used.</t>
        </r>
        <r>
          <rPr>
            <sz val="10"/>
            <rFont val="Roman"/>
            <family val="1"/>
          </rPr>
          <t xml:space="preserve">
</t>
        </r>
        <r>
          <rPr>
            <b/>
            <sz val="3"/>
            <rFont val="Tahoma"/>
            <family val="2"/>
          </rPr>
          <t/>
        </r>
      </text>
    </comment>
  </commentList>
</comments>
</file>

<file path=xl/comments4.xml><?xml version="1.0" encoding="utf-8"?>
<comments xmlns="http://schemas.openxmlformats.org/spreadsheetml/2006/main">
  <authors>
    <author>Mark Quinn (markquin)</author>
  </authors>
  <commentList>
    <comment ref="C69" authorId="0">
      <text>
        <r>
          <rPr>
            <b/>
            <sz val="8"/>
            <rFont val="Tahoma"/>
            <family val="0"/>
          </rPr>
          <t xml:space="preserve">In this parameter and value, the number "xxx" (i.e. "PTCxxx") is the installation instance of the FS PTC.
</t>
        </r>
      </text>
    </comment>
    <comment ref="C49" authorId="0">
      <text>
        <r>
          <rPr>
            <b/>
            <sz val="8"/>
            <rFont val="Tahoma"/>
            <family val="0"/>
          </rPr>
          <t xml:space="preserve">In this parameter and value, the number "xxx" (i.e. "CAxxx") is the installation instance of the CA.
</t>
        </r>
      </text>
    </comment>
    <comment ref="C44" authorId="0">
      <text>
        <r>
          <rPr>
            <b/>
            <sz val="8"/>
            <rFont val="Tahoma"/>
            <family val="0"/>
          </rPr>
          <t xml:space="preserve">In this parameter and value, the number "xxx" (i.e. "CAxxx") is the installation instance of the CA.
</t>
        </r>
      </text>
    </comment>
    <comment ref="C50" authorId="0">
      <text>
        <r>
          <rPr>
            <b/>
            <sz val="8"/>
            <rFont val="Tahoma"/>
            <family val="0"/>
          </rPr>
          <t xml:space="preserve">In this parameter and value, the number "xxx" (i.e. "CAxxx") is the installation instance of the CA.
</t>
        </r>
      </text>
    </comment>
    <comment ref="C59" authorId="0">
      <text>
        <r>
          <rPr>
            <b/>
            <sz val="8"/>
            <rFont val="Tahoma"/>
            <family val="0"/>
          </rPr>
          <t xml:space="preserve">In this parameter and value, the number "xxx" (i.e. "CAxxx") is the installation instance of the CA.
</t>
        </r>
      </text>
    </comment>
    <comment ref="C64" authorId="0">
      <text>
        <r>
          <rPr>
            <b/>
            <sz val="8"/>
            <rFont val="Tahoma"/>
            <family val="0"/>
          </rPr>
          <t xml:space="preserve">In this parameter and value, the number "xxx" (i.e. "CAxxx") is the installation instance of the CA.
</t>
        </r>
      </text>
    </comment>
    <comment ref="C48" authorId="0">
      <text>
        <r>
          <rPr>
            <b/>
            <sz val="8"/>
            <rFont val="Tahoma"/>
            <family val="0"/>
          </rPr>
          <t xml:space="preserve">In this parameter and value, the number "xxx" (i.e. "CAxxx") is the installation instance of the CA.
</t>
        </r>
      </text>
    </comment>
    <comment ref="C80" authorId="0">
      <text>
        <r>
          <rPr>
            <b/>
            <sz val="8"/>
            <rFont val="Tahoma"/>
            <family val="0"/>
          </rPr>
          <t xml:space="preserve">These three parameters define for the CallAgent: 
the external trace log archival system name,
the full path name of the target archive directory,
the disk quota reserved.
</t>
        </r>
      </text>
    </comment>
    <comment ref="C81" authorId="0">
      <text>
        <r>
          <rPr>
            <b/>
            <sz val="8"/>
            <rFont val="Tahoma"/>
            <family val="0"/>
          </rPr>
          <t>These three parameters define for the FSPTC: 
the external trace log archival system name,
the full path name of the target archive directory,
the disk quota reserved.</t>
        </r>
      </text>
    </comment>
    <comment ref="C82" authorId="0">
      <text>
        <r>
          <rPr>
            <b/>
            <sz val="8"/>
            <rFont val="Tahoma"/>
            <family val="0"/>
          </rPr>
          <t xml:space="preserve">These three parameters define for the FSAIN: 
the external trace log archival system name,
the full path name of the target archive directory,
the disk quota reserved.
</t>
        </r>
      </text>
    </comment>
    <comment ref="C83" authorId="0">
      <text>
        <r>
          <rPr>
            <b/>
            <sz val="8"/>
            <rFont val="Tahoma"/>
            <family val="0"/>
          </rPr>
          <t>These three parameters define for the EMS: 
the external trace log archival system name,
the full path name of the target archive directory,
the disk quota reserved.</t>
        </r>
      </text>
    </comment>
    <comment ref="C84" authorId="0">
      <text>
        <r>
          <rPr>
            <b/>
            <sz val="8"/>
            <rFont val="Tahoma"/>
            <family val="0"/>
          </rPr>
          <t>These three parameters define for the BDMS: 
the external trace log archival system name,
the full path name of the target archive directory,
the disk quota reserved.</t>
        </r>
      </text>
    </comment>
    <comment ref="C85" authorId="0">
      <text>
        <r>
          <rPr>
            <b/>
            <sz val="8"/>
            <rFont val="Tahoma"/>
            <family val="0"/>
          </rPr>
          <t>This flag will determine whether NSCD will be enabled or disabled in the system. Cisco recommends strongly that NSCD be enabled.  Valid values are 'y' (enabled) and 'n' (disabled).</t>
        </r>
      </text>
    </comment>
    <comment ref="C86" authorId="0">
      <text>
        <r>
          <rPr>
            <b/>
            <sz val="8"/>
            <rFont val="Tahoma"/>
            <family val="0"/>
          </rPr>
          <t>Indicates the billing record file naming convention 
(BILLING_FILENAME_TYPE). The options are default naming convention and PacketCable naming convention.
Valid values are "Default" (default) and "PacketCable".</t>
        </r>
      </text>
    </comment>
    <comment ref="C89" authorId="0">
      <text>
        <r>
          <rPr>
            <b/>
            <sz val="8"/>
            <rFont val="Tahoma"/>
            <family val="0"/>
          </rPr>
          <t>This is the setting for the time of day when the Automatic Shared Memory Backup will be done for CA. The start time values should be staggered for each platform such that only one  platform is performing the operation at any given time.</t>
        </r>
      </text>
    </comment>
    <comment ref="C90" authorId="0">
      <text>
        <r>
          <rPr>
            <b/>
            <sz val="8"/>
            <rFont val="Tahoma"/>
            <family val="0"/>
          </rPr>
          <t>This is the setting for the time of day when the Automatic Shared Memory Backup will be done for FSAIN. The start time values should be staggered for each platform such that only one  platform is performing the operation at any given time.</t>
        </r>
      </text>
    </comment>
    <comment ref="C91" authorId="0">
      <text>
        <r>
          <rPr>
            <b/>
            <sz val="8"/>
            <rFont val="Tahoma"/>
            <family val="0"/>
          </rPr>
          <t>This is the setting for the time of day when the Automatic Shared Memory Backup will be done for FSPTC. The start time values should be staggered for each platform such that only one  platform is performing the operation at any given time.</t>
        </r>
      </text>
    </comment>
    <comment ref="C92" authorId="0">
      <text>
        <r>
          <rPr>
            <b/>
            <sz val="8"/>
            <rFont val="Tahoma"/>
            <family val="0"/>
          </rPr>
          <t>This is the setting for the time of day when the Automatic Shared Memory Backup will be done for EMS. The start time values should be staggered for each platform such that only one  platform is performing the operation at any given time.</t>
        </r>
      </text>
    </comment>
    <comment ref="C93" authorId="0">
      <text>
        <r>
          <rPr>
            <b/>
            <sz val="8"/>
            <rFont val="Tahoma"/>
            <family val="0"/>
          </rPr>
          <t>This is the setting for the time of day when the Automatic Shared Memory Backup will be done for BDMS. The start time values should be staggered for each platform such that only one  platform is performing the operation at any given time.</t>
        </r>
      </text>
    </comment>
  </commentList>
</comments>
</file>

<file path=xl/sharedStrings.xml><?xml version="1.0" encoding="utf-8"?>
<sst xmlns="http://schemas.openxmlformats.org/spreadsheetml/2006/main" count="1336" uniqueCount="744">
  <si>
    <t>#                               MEM_CFG_SELECTION</t>
  </si>
  <si>
    <t>#                               DNS_FOR_FSPTCxxx_GFS_COM</t>
  </si>
  <si>
    <t>#   A.Chan      11/02/2004      Add MARKET_TYPE and NAMED_ENABLED,</t>
  </si>
  <si>
    <t>#   A.Chan      05/22/2005      remove TARGET_MARKET</t>
  </si>
  <si>
    <t># This flag will guide installation process to enable or disable</t>
  </si>
  <si>
    <t># Domain Name Server process named to suit customer's</t>
  </si>
  <si>
    <t># are T1 and CABLE. This flag determine what nscd (local cache) configuration</t>
  </si>
  <si>
    <t># to use.</t>
  </si>
  <si>
    <t># T1   : mostly with fixed assignment IP addresses such as IADs and few or no</t>
  </si>
  <si>
    <t>#        DHCP assigned addresses</t>
  </si>
  <si>
    <t>MAIN-ST</t>
  </si>
  <si>
    <t xml:space="preserve">NTP Time Host </t>
  </si>
  <si>
    <r>
      <t xml:space="preserve">Site Name / ID </t>
    </r>
    <r>
      <rPr>
        <b/>
        <sz val="10"/>
        <color indexed="10"/>
        <rFont val="Arial"/>
        <family val="2"/>
      </rPr>
      <t>(don't use underscore)</t>
    </r>
  </si>
  <si>
    <t>Rev 25</t>
  </si>
  <si>
    <t>For  the Site Name / ID added a warning about the underscore char not to be used in a DNS name</t>
  </si>
  <si>
    <t># Gateways over SUA. The option chosen here MUST support SSN based</t>
  </si>
  <si>
    <t># Note: Currently this parameter only support SUA.</t>
  </si>
  <si>
    <t xml:space="preserve">           EMS: EMS_SIDE_A_HN=priems10</t>
  </si>
  <si>
    <t xml:space="preserve">        EMS_SIDE_B_HN=secems10</t>
  </si>
  <si>
    <t># Each name resolves to two IP address in the same subnet as primary</t>
  </si>
  <si>
    <t># as the third virtual interface of management network(s) . Each instance</t>
  </si>
  <si>
    <t># addresses. They must NOT be the same as the domain names of POTS</t>
  </si>
  <si>
    <t># and ASM. (i.e. DNS_FOR_FSPTC_POTS_COM and DNS_FOR_FSAIN_ASM_COM)</t>
  </si>
  <si>
    <t># For a simplex, use the host name for this parameter</t>
  </si>
  <si>
    <t># Each name should return two logical IP addresses of a AIN Feature</t>
  </si>
  <si>
    <t># Server which must be in the same subnet as the third virtual interface</t>
  </si>
  <si>
    <t># of management network(s) . Each instance must have a unique DNS name</t>
  </si>
  <si>
    <t># They must NOT be the same as the domain names of SIM and POTS.</t>
  </si>
  <si>
    <t># (i.e. DNS_FOR_CA_SIM_COM and DNS_FOR_FSPTC_POTS_COM)</t>
  </si>
  <si>
    <t># For a simplex system, use host name for this parameter</t>
  </si>
  <si>
    <t># This is fully qualified DNS name used by the POTS process</t>
  </si>
  <si>
    <t># in Feature_Server FSPTC. Each name should return two logical</t>
  </si>
  <si>
    <t># IP addresses of a POTS/CENTRIX Feature Server which match the</t>
  </si>
  <si>
    <t># subnet of the third virtual interface of management network(s).</t>
  </si>
  <si>
    <t># Each instance must have a unique DNS name and two uniquely</t>
  </si>
  <si>
    <t># They must NOT  be the same as the domain names of SIM and ASM</t>
  </si>
  <si>
    <t># (i.e. DNS_FOR_CA_SIM_COM and DNS_FOR_FSAIN_ASM_COM)</t>
  </si>
  <si>
    <t># For a simplex system, use host name for this parameter.</t>
  </si>
  <si>
    <t>Added at line 532 the DNS_FOR_EMS_SIDE_B_OMS_SLAVE_HUB.</t>
  </si>
  <si>
    <t># to talk to a slave Hub in each CA/FSAIN/FSPTC host, and also from</t>
  </si>
  <si>
    <t># EMS side A hub to EMS side B hub. Each name in the first six parameters</t>
  </si>
  <si>
    <t># should return two IP addresses of a CA/FSAIN/FSPTC host. The last</t>
  </si>
  <si>
    <t># two parameters should return two IP address of a EMS host.</t>
  </si>
  <si>
    <t>Fixed entries on the DNS bind and reverse dns bind worksheets</t>
  </si>
  <si>
    <t>Additional Site Survey Components</t>
  </si>
  <si>
    <t>logStorage</t>
  </si>
  <si>
    <t># The following parameters are related to  Log Archive Facility (LAF) process</t>
  </si>
  <si>
    <t># If  they are left blank, LAF process will be turned off.</t>
  </si>
  <si>
    <t># If the user want to use this feature, he/she must provide info about</t>
  </si>
  <si>
    <t># the external archive system, target directory and the disk quota (in G)</t>
  </si>
  <si>
    <t># for each platform.</t>
  </si>
  <si>
    <t># Also the target directory must be set up in that external archive system.</t>
  </si>
  <si>
    <t>CA Target Archive Full Path</t>
  </si>
  <si>
    <t>CA Disk quota (in Gigabytes)</t>
  </si>
  <si>
    <t>FSAIN Target Archive Full Path</t>
  </si>
  <si>
    <t>FSAIN Disk quota (in Gigabytes)</t>
  </si>
  <si>
    <t>EMS Target Archive Full Path</t>
  </si>
  <si>
    <t>EMS Disk quota (in Gigabytes)</t>
  </si>
  <si>
    <t>BDMS Target Archive Full Path</t>
  </si>
  <si>
    <t>BDMS Disk quota (in Gigabytes)</t>
  </si>
  <si>
    <t>/archive/BTS1-CA</t>
  </si>
  <si>
    <t>/archive/BTS1-FSPTS</t>
  </si>
  <si>
    <t>/archive/BTS1-FSAIN</t>
  </si>
  <si>
    <t>/archive/BTS1-EMS</t>
  </si>
  <si>
    <t>/archive/BTS1-BDMS</t>
  </si>
  <si>
    <t>Rev 24</t>
  </si>
  <si>
    <t># Example: CA146_LAF_PARAMETER="gigastor /CA146_trace_log 20"</t>
  </si>
  <si>
    <t>CA External Archive System Name</t>
  </si>
  <si>
    <t>FSPTC External Archive System Name</t>
  </si>
  <si>
    <t>FSPTC Target Archive Full Path</t>
  </si>
  <si>
    <t>FSPTC Disk quota (in Gigabytes)</t>
  </si>
  <si>
    <t>FSAIN External Archive System Name</t>
  </si>
  <si>
    <t>EMS External Archive System Name</t>
  </si>
  <si>
    <t>BDMS External Archive System Name</t>
  </si>
  <si>
    <t>/archive/BTS1-FSPTC</t>
  </si>
  <si>
    <r>
      <t>Log Archive Facility (</t>
    </r>
    <r>
      <rPr>
        <i/>
        <u val="single"/>
        <sz val="10"/>
        <rFont val="Arial"/>
        <family val="2"/>
      </rPr>
      <t>Optional</t>
    </r>
    <r>
      <rPr>
        <b/>
        <sz val="10"/>
        <rFont val="Arial"/>
        <family val="2"/>
      </rPr>
      <t>)</t>
    </r>
  </si>
  <si>
    <t># This flag will determine whether nscd (Name Server Cache Daemon)</t>
  </si>
  <si>
    <t># will be enabled or disabled in the system.   Cisco recommends</t>
  </si>
  <si>
    <t># "y" = enable, "n" = disabled. Default is "y".</t>
  </si>
  <si>
    <t>Name Server Cache Daemon</t>
  </si>
  <si>
    <t>Side B (Secondary) EMS/BDMS</t>
  </si>
  <si>
    <t>Side B (Secondary) CA/FS</t>
  </si>
  <si>
    <t>Side B (Secondary) EMS</t>
  </si>
  <si>
    <t>Enable NSCD?</t>
  </si>
  <si>
    <t>NSCD_ENABLED</t>
  </si>
  <si>
    <t># strongly that nscd be enabled. Valid values are: "y" or "n".</t>
  </si>
  <si>
    <t># unique DNS name and two uniquely associated LOGICAL IP addresses.</t>
  </si>
  <si>
    <t># must have a unique DNS name and two uniquely associated LOGICAL IP</t>
  </si>
  <si>
    <t># and two uniquely associated LOGICAL IP addresses.</t>
  </si>
  <si>
    <t># associated LOGICAL IP addresses.</t>
  </si>
  <si>
    <t>#  needs. Valid values are: "cache_only", "secondary_dns_all_hosts",</t>
  </si>
  <si>
    <t>#  "secondary_dns_CA_only" or "n". Default is "n"</t>
  </si>
  <si>
    <t>#  n                                       : do not start up the named process.</t>
  </si>
  <si>
    <t>#  cache_only                        : start up the named process as cache server only</t>
  </si>
  <si>
    <t>#  secondary_dns_all_hosts    : start up the named process as internal secondary</t>
  </si>
  <si>
    <t>#  secondary_dns_CA_only     : start up the named process as internal secondary</t>
  </si>
  <si>
    <t>#                                             authoritative DNS server in all BTS hosts in</t>
  </si>
  <si>
    <t>#                                             this system.</t>
  </si>
  <si>
    <t>#   A.Chan      06/21/2005      Add LAF parameters</t>
  </si>
  <si>
    <t>#   A.Chan      09/01/2005      Add NSCD_ENABLED</t>
  </si>
  <si>
    <t>ADDITIONAL INTERNAL (PRIVATE) NETWORK CONFIGURATION DATA</t>
  </si>
  <si>
    <t>IPs used by SIM in Call Agent</t>
  </si>
  <si>
    <t>IPs used by POTS in FSPTC</t>
  </si>
  <si>
    <t>IPs used by ASM in FSAIN</t>
  </si>
  <si>
    <t xml:space="preserve">  -</t>
  </si>
  <si>
    <t>Links</t>
  </si>
  <si>
    <r>
      <t>Note</t>
    </r>
    <r>
      <rPr>
        <sz val="10"/>
        <rFont val="Arial"/>
        <family val="0"/>
      </rPr>
      <t xml:space="preserve">: </t>
    </r>
    <r>
      <rPr>
        <i/>
        <sz val="10"/>
        <rFont val="Arial"/>
        <family val="2"/>
      </rPr>
      <t>The octets used in these definitions should not replicate entries existing in the same internal networks</t>
    </r>
  </si>
  <si>
    <t>Added the LAF configuration.</t>
  </si>
  <si>
    <t>Added the NSCD_ENABLED flag.</t>
  </si>
  <si>
    <t>Reworking the DNS_FOR_CA_MGCP_COM entry to use another existing DNS name that provides 4 IP addresses.</t>
  </si>
  <si>
    <t xml:space="preserve">Fixed the entry for DNS_FOR_FSAIN205_ASM_COM </t>
  </si>
  <si>
    <t>The 'DNS BIND file' needs to have a dot ('.') at the end of the domain on each DNS name</t>
  </si>
  <si>
    <t>All cells in column C, containing IP adresses/netmasks, should be formatted as text (EMEA Excel incompatibilities).</t>
  </si>
  <si>
    <t>Rev 1</t>
  </si>
  <si>
    <t>Rev 4</t>
  </si>
  <si>
    <t>Rev 5</t>
  </si>
  <si>
    <t>Rev 6</t>
  </si>
  <si>
    <t>Rev 7</t>
  </si>
  <si>
    <t>Rev 8</t>
  </si>
  <si>
    <t>Rev 9</t>
  </si>
  <si>
    <t>Rev 11</t>
  </si>
  <si>
    <t>Rev 12</t>
  </si>
  <si>
    <t xml:space="preserve">Introduced 3 new 'last octets' definitions to be used for sim-MAIN_STCA146.name.cisco.com, asm-MAIN_STAIN205.name.cisco.com, pots-MAIN_STPTC235.name.cisco.com. This is replacing the 'instance numbers' used before. 
</t>
  </si>
  <si>
    <t xml:space="preserve">1) Removed a duplicate entry in opticall.cfg. 2) For DNS_FOR_CA146_MGA_COM used mgcp-MAIN_STCA146.name.cisco.com instead of mga-MAIN_STCA146.name.cisco.com for compatibility with 3.5.5 
</t>
  </si>
  <si>
    <t>rev 10</t>
  </si>
  <si>
    <t>Rev 13</t>
  </si>
  <si>
    <t>Rev 14</t>
  </si>
  <si>
    <t>Published</t>
  </si>
  <si>
    <t>yes</t>
  </si>
  <si>
    <t>Corrected the default values for the network interface names to match the jumpstart configuration.</t>
  </si>
  <si>
    <t>Rev 15</t>
  </si>
  <si>
    <t>Updated this version history section</t>
  </si>
  <si>
    <t xml:space="preserve"> </t>
  </si>
  <si>
    <t>mgcp</t>
  </si>
  <si>
    <t>DNS_FOR_CA146_MGA_COM</t>
  </si>
  <si>
    <t>DNS prefix</t>
  </si>
  <si>
    <t>Made DNS_FOR_CA146_H3A_COM an empty string in opticall.cfg if H323 not enabled</t>
  </si>
  <si>
    <t>Rev 16</t>
  </si>
  <si>
    <t>Rev 17</t>
  </si>
  <si>
    <t>Removed the &lt;Billing record file name type&gt;. Removed &lt;Alarm Panel&gt; option.</t>
  </si>
  <si>
    <t>Rev 28</t>
  </si>
  <si>
    <t>Rev 27</t>
  </si>
  <si>
    <t>Made the prefix for DNS_FOR_CA146_MGA_COM variable: either 'mgcp' or 'mga'. Default is 'mgcp'.</t>
  </si>
  <si>
    <t>Rev 18</t>
  </si>
  <si>
    <t>#                                            authoritative DNS server in CA hosts only.</t>
  </si>
  <si>
    <t>Removed any entry related to H323 in the DNS tables, CNR files, BIND files when H323 is disabled</t>
  </si>
  <si>
    <t>Rev 19</t>
  </si>
  <si>
    <t>E n a b l e   LAF?</t>
  </si>
  <si>
    <t xml:space="preserve">NOTE: If the enable FLAG is 'n' ignore all values for the LAF parameters. </t>
  </si>
  <si>
    <t>Rev 20</t>
  </si>
  <si>
    <t>Added a flag to enable/disable LAF. This makes simpler the formatting of the related strings in opticall.cfg</t>
  </si>
  <si>
    <t>These three instances must be unique.</t>
  </si>
  <si>
    <t>Added a note on the three CA, FSPTC, and FSAIN instances having to be unique.</t>
  </si>
  <si>
    <t>Rev 21</t>
  </si>
  <si>
    <t>Additions for the ASMB feature and for the Billing File Name Format (default/PacketCable)</t>
  </si>
  <si>
    <t>Fixed cell D123 in  (NIDS Data Entry + Netwk table) - minor discrepancy</t>
  </si>
  <si>
    <t>Rev 22</t>
  </si>
  <si>
    <t>Fixed cells C138 and C139 in (NIDS Data Entry + Netwk table) to refer to EMS instead of CA (priems-rep2 not prica-rep2, secems-rep2 not secca-rep2)</t>
  </si>
  <si>
    <t>Rev 23</t>
  </si>
  <si>
    <t>Upgrades for 5.0. Expanded MEM_CFG_SELECTION, added DNS_FOR_CA_SIDE_A(and-B)_IUA_COM, added</t>
  </si>
  <si>
    <t># Since the backup should happen during the maintenance window (21:00 - 05:00),</t>
  </si>
  <si>
    <t># the start time should range from 21:00 to 04:45.</t>
  </si>
  <si>
    <t>BILLING_FILENAME_TYPE</t>
  </si>
  <si>
    <t>22:00</t>
  </si>
  <si>
    <t>22:15</t>
  </si>
  <si>
    <t>22:30</t>
  </si>
  <si>
    <t># This is the setting for the time of day when the Automatic Shared</t>
  </si>
  <si>
    <t># Memory Backup will be done for each platform.  The time should be</t>
  </si>
  <si>
    <t>#   SHARED_MEMORY_BACKUP_START_TIME_CA=hh:mm</t>
  </si>
  <si>
    <t>#   o The two digits 'hh' represent the hour (00-23)</t>
  </si>
  <si>
    <t>#   o The two digits 'mm' represent the min  (00-59)</t>
  </si>
  <si>
    <t># For example, to specify 11:30 pm for the CA:</t>
  </si>
  <si>
    <t>#   SHARED_MEMORY_BACKUP_START_TIME_CA=23:30</t>
  </si>
  <si>
    <t># The defaults are staggered for each platform such that only one</t>
  </si>
  <si>
    <t># platform is performing the operation at any given time.  If these</t>
  </si>
  <si>
    <t># backup start times are changed, it is highly recommended that they</t>
  </si>
  <si>
    <t># be set to different times, approximately 15 min apart (or longer).</t>
  </si>
  <si>
    <t>SHARED_MEMORY_BACKUP_START_TIME_CA</t>
  </si>
  <si>
    <t>SHARED_MEMORY_BACKUP_START_TIME_FSAIN</t>
  </si>
  <si>
    <t>SHARED_MEMORY_BACKUP_START_TIME_FSPTC</t>
  </si>
  <si>
    <t>SHARED_MEMORY_BACKUP_START_TIME_EMS</t>
  </si>
  <si>
    <t>SHARED_MEMORY_BACKUP_START_TIME_BDMS</t>
  </si>
  <si>
    <t>#   A.Chan      06/31/2004      Add new parameters:</t>
  </si>
  <si>
    <t>#                               DNS_FOR_EMS_SIDE_B_OMS_SLAVE_HUB</t>
  </si>
  <si>
    <t>#   A.Chan      08/18/2004      Add NTP servers</t>
  </si>
  <si>
    <t>#   A.Chan      11/03/2004      Remove SGA parameters</t>
  </si>
  <si>
    <t># This is a DNS name which is used in platform.cfg file by pmg when DNS for RED</t>
  </si>
  <si>
    <t># ping fails. It helps pmg to determine the failure is on the local host or is</t>
  </si>
  <si>
    <t># on DNS server. So, the pmg can take proper action accordingly.</t>
  </si>
  <si>
    <t># In 4,2 configuration, one should be set to return IP address(es) of the router(s)</t>
  </si>
  <si>
    <t>Once the core information has been entered, the three NIDS tab sheets: "NIDS Data Entry + Netwk tables", "NIDS DNS table" &amp; "NIDS Opticall table", generate the NIDS data in a tabular format that can be cut and paste directly into the corresponding NIDS document sections/tables.</t>
  </si>
  <si>
    <t>Note:</t>
  </si>
  <si>
    <r>
      <t xml:space="preserve">Data entry fields show as </t>
    </r>
    <r>
      <rPr>
        <b/>
        <sz val="10"/>
        <color indexed="10"/>
        <rFont val="Arial"/>
        <family val="2"/>
      </rPr>
      <t>red text</t>
    </r>
    <r>
      <rPr>
        <sz val="10"/>
        <rFont val="Arial"/>
        <family val="0"/>
      </rPr>
      <t xml:space="preserve"> if the default values or calculations are retained, but show as </t>
    </r>
    <r>
      <rPr>
        <b/>
        <sz val="10"/>
        <rFont val="Arial"/>
        <family val="2"/>
      </rPr>
      <t>black text</t>
    </r>
    <r>
      <rPr>
        <sz val="10"/>
        <rFont val="Arial"/>
        <family val="0"/>
      </rPr>
      <t xml:space="preserve"> if overridden with different data (to allow you to easily keep track of what has been modified/entered).</t>
    </r>
  </si>
  <si>
    <t>;## Define name servers for this domain.</t>
  </si>
  <si>
    <t>;## BTS 10200 Host Name IP Addresses</t>
  </si>
  <si>
    <t>;## BTS 10200 Application IP Addresses</t>
  </si>
  <si>
    <t>;## BTS 10200 Broker IP Addresses</t>
  </si>
  <si>
    <t>;## BTS 10200 End</t>
  </si>
  <si>
    <t>;##</t>
  </si>
  <si>
    <t>;##################################################################</t>
  </si>
  <si>
    <t xml:space="preserve">                                3600             ; Refresh 1 hr</t>
  </si>
  <si>
    <t xml:space="preserve">                                300              ; Retry 5 mins</t>
  </si>
  <si>
    <t xml:space="preserve">                                3600000          ; Expire 1000 hrs (41+ days)</t>
  </si>
  <si>
    <t xml:space="preserve">                                86400 )          ; Minimum ttl of 1 day</t>
  </si>
  <si>
    <t>To use this tool:</t>
  </si>
  <si>
    <t>"EM01"</t>
  </si>
  <si>
    <t>"BDMS01"</t>
  </si>
  <si>
    <t>#  APPLICATION TYPES: 1. CA     -- Call Agent</t>
  </si>
  <si>
    <t>#                     2. FSAIN  -- AIN Feature Server</t>
  </si>
  <si>
    <t>#                     3. FSPTC  -- POTS/CENTRIX Feature Server</t>
  </si>
  <si>
    <t>#                     4. EM     -- Element Manager</t>
  </si>
  <si>
    <t># FIVE HARDWARE CONFIGURATIONS ARE SUPPORTED:</t>
  </si>
  <si>
    <t>#    CONFIGURATION 1:   CA/FSAIN/FSPTC -- on a same host</t>
  </si>
  <si>
    <t>#                       EM             -- on one host</t>
  </si>
  <si>
    <t>#    CONFIGURATION 2:   CA/FSAIN -- on a same host</t>
  </si>
  <si>
    <t>#                       FSPTC    -- on one host</t>
  </si>
  <si>
    <t>#                       EM       -- on one host</t>
  </si>
  <si>
    <t>#    CONFIGURATION 3:   CA/FSPTC -- on a same host</t>
  </si>
  <si>
    <t>#                       FSAIN    -- on one host</t>
  </si>
  <si>
    <t>#    CONFIGURATION 4:   CA          -- on one host</t>
  </si>
  <si>
    <t>#                       FSPTC/FSAIN -- on one host</t>
  </si>
  <si>
    <t>#                       EM          -- on one host</t>
  </si>
  <si>
    <t>#    CONFIGURATION 5:   CA    -- on one host</t>
  </si>
  <si>
    <t>#                       FSPTC -- on one host</t>
  </si>
  <si>
    <t>#                       FSAIN -- on one host</t>
  </si>
  <si>
    <t>#                       EM    -- on one host</t>
  </si>
  <si>
    <t>################################################################################</t>
  </si>
  <si>
    <t>#++++++++++++++++++++++++++++++++++++++++++++++++++++++++++++++++++++++</t>
  </si>
  <si>
    <t>#+++++++++++++++++++++  REQUIRED  COMMON  LIST  +++++++++++++++++++++++</t>
  </si>
  <si>
    <t># A CORBA specific identifier to uniquely identify a site of a BTS 10200 system.</t>
  </si>
  <si>
    <t># This flag will guide installation process to set gdrs daemon process</t>
  </si>
  <si>
    <t># which will reconfig ss7 redundancy in a Geographically Distributed</t>
  </si>
  <si>
    <t># Redundancy &amp; Survivability system. Valid values are: "y" or "n".</t>
  </si>
  <si>
    <t># processes to suite customer's needs. Valid values are: "y" or "n".</t>
  </si>
  <si>
    <t># at time when each application platform is installed:</t>
  </si>
  <si>
    <t>#       2. TSA in Feature Server POTS</t>
  </si>
  <si>
    <t>#       3. TSA in Feature Server AIN</t>
  </si>
  <si>
    <t># The possible values are "y" and "n", default is set to "y".</t>
  </si>
  <si>
    <t># feature on BTS 10200. Possible values for IPSEC_ENABLED are "y" or "n".</t>
  </si>
  <si>
    <t># The default is set to "n".</t>
  </si>
  <si>
    <t>Subnet for  Internal Network</t>
  </si>
  <si>
    <t># A BTS 10200 system hardware configuration indicator. Refer to the heading</t>
  </si>
  <si>
    <t># to determine a proper value for your system.</t>
  </si>
  <si>
    <t># for all possible configurations, see comments in header section.</t>
  </si>
  <si>
    <t># Parameters used by Feature Server AIN and POTS TSA process</t>
  </si>
  <si>
    <t># For IN-1/AIN0.1 Services BTS10200 can communicate to SIGTRAN based Signaling</t>
  </si>
  <si>
    <t># This flag will guide the installation which mem.cfg to use.</t>
  </si>
  <si>
    <t xml:space="preserve"># The allowable values are "small", "medium4G", "medium", "demo", "router" </t>
  </si>
  <si>
    <t># , "localLnp", "cable8p", "cable12p" and "mgc".</t>
  </si>
  <si>
    <t># small : it will point to small size mem.cfg.</t>
  </si>
  <si>
    <t># medium4G : it will point to medium size mem.cfg which requires 4G of memory.</t>
  </si>
  <si>
    <t># medium : it will point to medium size mem.cfg which requires 8G of memory.</t>
  </si>
  <si>
    <t xml:space="preserve"># demo : it will use a mem.cfg for demo and lab use only. </t>
  </si>
  <si>
    <t xml:space="preserve"># router : it will use a mem.cfg for tailored for route server. </t>
  </si>
  <si>
    <t xml:space="preserve"># localLnp : it will use a mem.cfg which supports local LNP with onboard LNP </t>
  </si>
  <si>
    <t>#            database (DN2GN table).</t>
  </si>
  <si>
    <t xml:space="preserve"># cable8p : it will point to a large size mem.cfg which takes up to 250k </t>
  </si>
  <si>
    <t>#           subscribers  and needs at least 8 processors and 16G memory.</t>
  </si>
  <si>
    <t xml:space="preserve"># cable12p : it will point to a very large size mem.cfg which takes up to </t>
  </si>
  <si>
    <t>#            300k subscribers and needs at least 12 processors.</t>
  </si>
  <si>
    <t># mgc : it will point to a mem.cfg tailored to function as a PSTN Gateway.</t>
  </si>
  <si>
    <t xml:space="preserve"># Note: When CA/FSAIN/FSPTC are in one host, the OMS_SLAVE_HUB for FSAIN </t>
  </si>
  <si>
    <t>Additional NTP Time Host(s) (Optional)</t>
  </si>
  <si>
    <t>DNS_FOR_EMS_SIDE_A (and-B)_MDII_COM, added the Auto-restart. Added the FD and RD delimiters for billing records. Changed DNS_FOR_CAxxx_MGA_COM to DNS_FOR_CAxxx_MGCP_COM and DNS_FOR_CAxxx_H3A_COM  to DNS_FOR_CAxxx_H323_COM.  Updated the comments in opticall.cfg. Removed TARGET_MARKET from NIDS Opticall Table. Changed the Secondary NTP Time Host to Additional NTP Time Hosts(s), allowing for more than 2 servers.</t>
  </si>
  <si>
    <t>5.0.X</t>
  </si>
  <si>
    <t># Cisco-ITP Signaling Gateway you MUST chose SUA. The default is set to SUA.</t>
  </si>
  <si>
    <t>#++++++++++++++++  END  OF  REQUIRED  COMMON  LIST  +++++++++++++++++++</t>
  </si>
  <si>
    <t>#######################  HOST  NAME  LIST   ############################</t>
  </si>
  <si>
    <t># used by an EGA process to communicate to an EMS at startup.</t>
  </si>
  <si>
    <t># Examples: A simplex system:</t>
  </si>
  <si>
    <t>#                   CA: CA_SIDE_A_HN=prica10</t>
  </si>
  <si>
    <t>#                       CA_SIDE_B_HN=prica10</t>
  </si>
  <si>
    <t>#                  AIN: FSAIN_SIDE_A_HN=prica10</t>
  </si>
  <si>
    <t>#                       FSAIN_SIDE_B_HN=prica10</t>
  </si>
  <si>
    <t>#                 POTS: FSPTC_SIDE_A_HN=prica10</t>
  </si>
  <si>
    <t>#                       FSPTC_SIDE_B_HN=prica10</t>
  </si>
  <si>
    <t>#                  EMS: EMS_SIDE_A_HN=priems10</t>
  </si>
  <si>
    <t>#                       EMS_SIDE_B_HN=priems10</t>
  </si>
  <si>
    <t>#           A duplex system:</t>
  </si>
  <si>
    <t>#                       CA_SIDE_B_HN=secca10</t>
  </si>
  <si>
    <t>#                       FSAIN_SIDE_B_HN=secca10</t>
  </si>
  <si>
    <t>#                       FSPTC_SIDE_B_HN=secca10</t>
  </si>
  <si>
    <t>#=======================================================================</t>
  </si>
  <si>
    <t>#==================   APPLICATION  INSTANCE  LIST   ====================</t>
  </si>
  <si>
    <t># Application instances to be installed on a target HOST according to</t>
  </si>
  <si>
    <t># and within a double quote. All letters must be CAPITALIZED.</t>
  </si>
  <si>
    <t>#=============  END  OF  APPLICATION  INSTANCE  LIST   =================</t>
  </si>
  <si>
    <t>#-----------------------------------------------------------------------</t>
  </si>
  <si>
    <t>#--------------  PMG(red,kam)  REQUIRED  DNS  NAMES   ------------------</t>
  </si>
  <si>
    <t># other processes for any purpose.  Each name should return two IP addresses.</t>
  </si>
  <si>
    <t>#------------  END  OF  PMG(red,kam)  REQUIRED  DNS  NAMES   -----------</t>
  </si>
  <si>
    <t>#=====================  CA  REQUIRED  DNS  NAMES  ======================</t>
  </si>
  <si>
    <t># name should return two IP addresses of a EMS host.</t>
  </si>
  <si>
    <t># These are qualified DNS names used to LHM to monitor billing links</t>
  </si>
  <si>
    <t># Each name should return two IP addresses of a CA host</t>
  </si>
  <si>
    <t># Each name resolves to two IP addresses in the same subnet as primary</t>
  </si>
  <si>
    <t># This name should return two LOGICAL IP addresses.</t>
  </si>
  <si>
    <t># These are qualified DNS names used by pmg in each application</t>
  </si>
  <si>
    <t># to help determine what actions are needed if there is a redundancy</t>
  </si>
  <si>
    <t># Each name should return two IP addresses of a Call Agent.</t>
  </si>
  <si>
    <t># side of Call Agent). However, in 4.1 or above, it is not used</t>
  </si>
  <si>
    <t># These are qualified DNS names used by a H3A process in</t>
  </si>
  <si>
    <t># Call Agents for communication to external devices.</t>
  </si>
  <si>
    <t># Each name should return two IP addresses of a Call Agent host.</t>
  </si>
  <si>
    <t># Each name should return two IP addresses of a Call Agent host</t>
  </si>
  <si>
    <t># Accessible to external devices.</t>
  </si>
  <si>
    <t># Each name should return one IP address of a Call Agent host.</t>
  </si>
  <si>
    <t>#===============  END  OF  CA  REQUIRED  DNS  NAMES  ===================</t>
  </si>
  <si>
    <t>#+++++++++++++++++++++++++++++++++++++++++++++++++++++++++++++++++++++++</t>
  </si>
  <si>
    <t>#++++++++++++++++   FSAIN  REQUIRED  DNS  NAMES   ++++++++++++++++++++++</t>
  </si>
  <si>
    <t># Each name should return two IP addresses of a AIN Feature Server.</t>
  </si>
  <si>
    <t># These are qualified DNS names used by a TSA process in Feature Server</t>
  </si>
  <si>
    <t># Each name should return two IP addresses of an AIN Feature Server host.</t>
  </si>
  <si>
    <t>#++++++++++++ END  OF  FSAIN  REQUIRED  DNS  NAMES   +++++++++++++++++++</t>
  </si>
  <si>
    <t>#----------------   FSPTC  REQUIRED  DNS  NAMES   ----------------------</t>
  </si>
  <si>
    <t># Each name should return two IP addresses of a POTS/CENTRIX Feature Server.</t>
  </si>
  <si>
    <t># Each name should return two IP address of a POTS Feature Server host.</t>
  </si>
  <si>
    <t># This is qualified DNS name used by GFS module of the POTS process</t>
  </si>
  <si>
    <t># Feature Server which match the subnet of its two physical interfaces</t>
  </si>
  <si>
    <t>#  PURPOSE: This is a configuration file used for installing a BTS 10200</t>
  </si>
  <si>
    <t>#           system which composed of a redundant Call Agent entity, a</t>
  </si>
  <si>
    <t>#           redundant AIN Feature Server entity, a redundant POTS Feature</t>
  </si>
  <si>
    <t>#           Server entity, and a redundant Element Manager entity. A Call</t>
  </si>
  <si>
    <t>#           Agent, AIN/POTS Feature Servers can be installed on a same</t>
  </si>
  <si>
    <t>#           one host.</t>
  </si>
  <si>
    <t># This flag will guide installation process to enable or disable H323</t>
  </si>
  <si>
    <t># This flag will enabled/disable following processes related to SS7 call processing</t>
  </si>
  <si>
    <t>#       1. SGA in Call Agent</t>
  </si>
  <si>
    <t># IPSEC_ENABLED variable will activate/deactivate the PacketCable Security</t>
  </si>
  <si>
    <t># Routing-Keys on the Signaling Gateway. Please select appropriate option</t>
  </si>
  <si>
    <t># as per the Signaling Gateway you are planning to use. If you are using</t>
  </si>
  <si>
    <t># in EMS management network, and another one in CA/FS signalling network</t>
  </si>
  <si>
    <t># These are used for determining a BTS 10200 system duplex/simplex mode.</t>
  </si>
  <si>
    <t># EMS_SIDE_A_HN and EMS_SIDE_B_HN host names are used by a SNMP</t>
  </si>
  <si>
    <t># agent to send traps from a Call Agent to an EMS. They are also</t>
  </si>
  <si>
    <t>#                       EMS_SIDE_B_HN=secems10</t>
  </si>
  <si>
    <t># HARDWARE CONFIGURATION. Each item in a list must be space separated</t>
  </si>
  <si>
    <t># These are qualified domain names used by RDM and KAM</t>
  </si>
  <si>
    <t># processes in CA/FSAIN/FSPTC/EM.  They are used for communication with</t>
  </si>
  <si>
    <t># the mate by KAM and RDM.  These DNS names should NOT be used by any</t>
  </si>
  <si>
    <t># These are qualified DNS names used by BLG process in</t>
  </si>
  <si>
    <t># Call Agents to communicate with BMG in EMS for billing. Each</t>
  </si>
  <si>
    <t># These are qualified DNS names used by a MGA process in</t>
  </si>
  <si>
    <t># and secondary interfaces respectively. Each instance must have a</t>
  </si>
  <si>
    <t># communication failure.</t>
  </si>
  <si>
    <t># These are old DNS names used by SIA process in Call Agents.</t>
  </si>
  <si>
    <t># This name should return four IP addresses (two addresses from each</t>
  </si>
  <si>
    <t># by SIA process anymore (except in simplex). But it is still used by</t>
  </si>
  <si>
    <t># KMS and installation to identify the physical network interfaces.</t>
  </si>
  <si>
    <t># These are qualified DNS names used by a SIA process in</t>
  </si>
  <si>
    <t># These are qualified DNS names used by a SIM process in</t>
  </si>
  <si>
    <t># Call Agents for LOCAL communication.</t>
  </si>
  <si>
    <t># These are qualified DNS names used by a ANM process in</t>
  </si>
  <si>
    <t># These are qualified DNS names used by a SGA process in</t>
  </si>
  <si>
    <t># Call Agents for EXTERNAL communication.</t>
  </si>
  <si>
    <t># These are qualified DNS names used by a BSM process in</t>
  </si>
  <si>
    <t># Call Agents for ISDN Backhaul  communication.</t>
  </si>
  <si>
    <t># These are qualified DNS names used by a ASM process in AIN</t>
  </si>
  <si>
    <t># Feature Servers for LOCAL communication.</t>
  </si>
  <si>
    <t># AIN for Signaling Gateway communication.</t>
  </si>
  <si>
    <t># POTS/CENTRIX for Signaling Gateway communication.</t>
  </si>
  <si>
    <t># in Feature_Server FSPTC</t>
  </si>
  <si>
    <t># Each name should return two logical IP addresses of a POTS/CENTRIX</t>
  </si>
  <si>
    <t>#-----------  END  OF  FSPTC  REQUIRED  DNS  NAMES  --------------------</t>
  </si>
  <si>
    <t>#==================   EMS  REQUIRED  DNS  NAMES   ======================</t>
  </si>
  <si>
    <t># Each name should return two IP addresses of a EMS.</t>
  </si>
  <si>
    <t># These are qualified DNS names used by OMSHub in both side of EMS</t>
  </si>
  <si>
    <t>#================ END  OF  EMS  REQUIRED  DNS  NAMES   =================</t>
  </si>
  <si>
    <t>Date</t>
  </si>
  <si>
    <t>Version</t>
  </si>
  <si>
    <t>Comments</t>
  </si>
  <si>
    <t>Value</t>
  </si>
  <si>
    <t>Subnet mask for signaling network 1</t>
  </si>
  <si>
    <t>Subnet mask for signalling network 2</t>
  </si>
  <si>
    <t>ns1</t>
  </si>
  <si>
    <t>ns2</t>
  </si>
  <si>
    <t>Physical Interface</t>
  </si>
  <si>
    <t>Company Name:</t>
  </si>
  <si>
    <t>Contact (Name):</t>
  </si>
  <si>
    <t>BTS Release:</t>
  </si>
  <si>
    <t>Preparation Date:</t>
  </si>
  <si>
    <t>SIP-based Communication</t>
  </si>
  <si>
    <t>GFS (GUI Feature Server) Communication</t>
  </si>
  <si>
    <t>Network Used for 1st EMS/BDMS Oracle Replication Link</t>
  </si>
  <si>
    <t>Network Used for 2nd EMS/BDMS Oracle Replication Link</t>
  </si>
  <si>
    <t>Network Used for 1st CA/FS Redundancy Link</t>
  </si>
  <si>
    <t>Network Used for 2nd CA/FS Redundancy Link</t>
  </si>
  <si>
    <t>Network Used for 1st Billing Link and EMS/BDMS Redundancy</t>
  </si>
  <si>
    <t>Network Used for 2nd Billing Link and EMS/BDMS Redundancy</t>
  </si>
  <si>
    <t>Network Used for 1st CA-FS Communications Link</t>
  </si>
  <si>
    <t>Network Used for 2nd CA-FS Communications Link</t>
  </si>
  <si>
    <t>1st-3rd Octets</t>
  </si>
  <si>
    <t xml:space="preserve">4th </t>
  </si>
  <si>
    <t>SITEID</t>
  </si>
  <si>
    <t>DNS_FOR_CA_SIA_COM</t>
  </si>
  <si>
    <t>DNS_FOR_CA_SIDE_A_SGA_COM</t>
  </si>
  <si>
    <t>DNS_FOR_CA_SIDE_B_SGA_COM</t>
  </si>
  <si>
    <t>DNS_FOR_CA_SIDE_A_1_BSM_COM</t>
  </si>
  <si>
    <t>DNS_FOR_CA_SIDE_A_2_BSM_COM</t>
  </si>
  <si>
    <t>DNS_FOR_CA_SIDE_B_1_BSM_COM</t>
  </si>
  <si>
    <t>DNS_FOR_CA_SIDE_B_2_BSM_COM</t>
  </si>
  <si>
    <t>DNS_FOR_FSAIN_SIDE_A_CRIT_COM</t>
  </si>
  <si>
    <t>DNS_FOR_FSAIN_SIDE_B_CRIT_COM</t>
  </si>
  <si>
    <t>DNS_FOR_FSAIN_SIDE_A_SGW_COM</t>
  </si>
  <si>
    <t>DNS_FOR_FSAIN_SIDE_B_SGW_COM</t>
  </si>
  <si>
    <t>DNS_FOR_FSPTC_SIDE_A_CRIT_COM</t>
  </si>
  <si>
    <t>DNS_FOR_FSPTC_SIDE_B_CRIT_COM</t>
  </si>
  <si>
    <t>DNS_FOR_FSPTC_SIDE_A_SGW_COM</t>
  </si>
  <si>
    <t>DNS_FOR_FSPTC_SIDE_B_SGW_COM</t>
  </si>
  <si>
    <t>DNS_FOR_EMS_SIDE_A_CRIT_COM</t>
  </si>
  <si>
    <t>DNS_FOR_EMS_SIDE_B_CRIT_COM</t>
  </si>
  <si>
    <t>DNS_FOR_CA_SIDE_A_OMS_SLAVE_HUB</t>
  </si>
  <si>
    <t>DNS_FOR_CA_SIDE_B_OMS_SLAVE_HUB</t>
  </si>
  <si>
    <t>DNS_FOR_FSAIN_SIDE_A_OMS_SLAVE_HUB</t>
  </si>
  <si>
    <t>DNS_FOR_FSAIN_SIDE_B_OMS_SLAVE_HUB</t>
  </si>
  <si>
    <r>
      <t>Rev 30</t>
    </r>
    <r>
      <rPr>
        <b/>
        <sz val="10"/>
        <rFont val="Arial"/>
        <family val="2"/>
      </rPr>
      <t xml:space="preserve">          </t>
    </r>
    <r>
      <rPr>
        <b/>
        <u val="single"/>
        <sz val="10"/>
        <rFont val="Arial"/>
        <family val="2"/>
      </rPr>
      <t>Prepared for:</t>
    </r>
  </si>
  <si>
    <t>DNS_FOR_FSPTC_SIDE_A_OMS_SLAVE_HUB</t>
  </si>
  <si>
    <t>DNS_FOR_FSPTC_SIDE_B_OMS_SLAVE_HUB</t>
  </si>
  <si>
    <t>DNS_FOR_EMS_SIDE_A_OMS_SLAVE_HUB</t>
  </si>
  <si>
    <t>#Network Address of the 2 Management Networks</t>
  </si>
  <si>
    <t xml:space="preserve">#Network Address of the 2 VoIP/Signal transport Networks </t>
  </si>
  <si>
    <t xml:space="preserve">#Netmasks of the 2 VoIP/Signal transport Networks </t>
  </si>
  <si>
    <t>DNS_FOR_EMS_SIDE_B_OMS_SLAVE_HUB</t>
  </si>
  <si>
    <t>10.89.223</t>
  </si>
  <si>
    <t>10.89.224</t>
  </si>
  <si>
    <t>10.89.225</t>
  </si>
  <si>
    <t>10.89.226</t>
  </si>
  <si>
    <t>Primary DNS: Hostname</t>
  </si>
  <si>
    <t>Primary DNS: IP Address</t>
  </si>
  <si>
    <t>Secondary DNS: Hostname</t>
  </si>
  <si>
    <t>Secondary DNS: IP Address</t>
  </si>
  <si>
    <t>SITE Survey Component</t>
  </si>
  <si>
    <t>IP Address of 
Default Gateway</t>
  </si>
  <si>
    <t>Subnet mask for management network 1</t>
  </si>
  <si>
    <t>Changed the memory options cable8p and cable12p to cableM and cableL</t>
  </si>
  <si>
    <t>Subnet mask for management network 2</t>
  </si>
  <si>
    <t xml:space="preserve">1st-3rd Octets  </t>
  </si>
  <si>
    <t xml:space="preserve">  4th Octet</t>
  </si>
  <si>
    <t xml:space="preserve">1st-3rd Octets </t>
  </si>
  <si>
    <t>255.255.255.0</t>
  </si>
  <si>
    <t>10.10</t>
  </si>
  <si>
    <t>prica</t>
  </si>
  <si>
    <t>priems</t>
  </si>
  <si>
    <t>secca</t>
  </si>
  <si>
    <t>secems</t>
  </si>
  <si>
    <t>Domain Name</t>
  </si>
  <si>
    <t>name.cisco.com</t>
  </si>
  <si>
    <t>1st Management Network</t>
  </si>
  <si>
    <t>Host Description</t>
  </si>
  <si>
    <t>Host Name</t>
  </si>
  <si>
    <t>IP Address</t>
  </si>
  <si>
    <t>Side A (Primary) EMS/BDMS</t>
  </si>
  <si>
    <t>Side A (Primary) CA/FS</t>
  </si>
  <si>
    <t>2nd Management Network (Optional)</t>
  </si>
  <si>
    <t>1st Signalling Network</t>
  </si>
  <si>
    <t>2nd Signalling Network</t>
  </si>
  <si>
    <t>MGCP-based Communication</t>
  </si>
  <si>
    <t>Link</t>
  </si>
  <si>
    <t>1st MGA Communication Link</t>
  </si>
  <si>
    <t>2nd MGA Communication Link</t>
  </si>
  <si>
    <t>1st GFS Communication Link</t>
  </si>
  <si>
    <t>2nd GFS Communication Link</t>
  </si>
  <si>
    <t>1st SIP Communication Link</t>
  </si>
  <si>
    <t>2nd SIP Communication Link</t>
  </si>
  <si>
    <t>H.323-based Communication</t>
  </si>
  <si>
    <t>1st H323 Communication Link</t>
  </si>
  <si>
    <t>2nd H323 Communication Link</t>
  </si>
  <si>
    <t>Side A (Primary) EMS</t>
  </si>
  <si>
    <t>Side B (Secondry) EMS</t>
  </si>
  <si>
    <t>Required opticall.cfg Parameter</t>
  </si>
  <si>
    <t>Value of Parameter</t>
  </si>
  <si>
    <t>GDRS_ENABLED</t>
  </si>
  <si>
    <t>H323_ENABLED</t>
  </si>
  <si>
    <t>SS7_ENABLED</t>
  </si>
  <si>
    <t>IPSEC_ENABLED</t>
  </si>
  <si>
    <t>MEM_CFG_SELECTION</t>
  </si>
  <si>
    <t>CONFIGURATION</t>
  </si>
  <si>
    <t>SGW_OPTION</t>
  </si>
  <si>
    <t>SUA</t>
  </si>
  <si>
    <t>BROKER_DNS_FOR_PMG_IN_CA</t>
  </si>
  <si>
    <t>BROKER_DNS_FOR_PMG_IN_EMS</t>
  </si>
  <si>
    <t>CA_SIDE_A_HN</t>
  </si>
  <si>
    <t xml:space="preserve"># These are qualified DNS names used by a IUM process in </t>
  </si>
  <si>
    <t xml:space="preserve"># Call Agents for EXTERNAL communication.  </t>
  </si>
  <si>
    <t># Each name should return two IP addresses of each Call Agent host</t>
  </si>
  <si>
    <t># in different subnet. Accessible to external devices.</t>
  </si>
  <si>
    <t>Rev 26</t>
  </si>
  <si>
    <t>CA_SIDE_B_HN</t>
  </si>
  <si>
    <t>FSAIN_SIDE_A_HN</t>
  </si>
  <si>
    <t>FSAIN_SIDE_B_HN</t>
  </si>
  <si>
    <t>FSPTC_SIDE_A_HN</t>
  </si>
  <si>
    <t>FSPTC_SIDE_B_HN</t>
  </si>
  <si>
    <t>EMS_SIDE_A_HN</t>
  </si>
  <si>
    <t>EMS_SIDE_B_HN</t>
  </si>
  <si>
    <t>PRIMARY_NTP_SERVER</t>
  </si>
  <si>
    <t>10.89.225.2</t>
  </si>
  <si>
    <t>CA_INSTALLING_LIST</t>
  </si>
  <si>
    <t>FSAIN_INSTALLING_LIST</t>
  </si>
  <si>
    <t>FSPTC_INSTALLING_LIST</t>
  </si>
  <si>
    <t>EMS_INSTALLING_LIST</t>
  </si>
  <si>
    <t>BDMS_INSTALLING_LIST</t>
  </si>
  <si>
    <t>DNS_FOR_CA_SIDE_A_RED</t>
  </si>
  <si>
    <t>DNS_FOR_CA_SIDE_B_RED</t>
  </si>
  <si>
    <t>DNS_FOR_FSAIN_SIDE_A_RED</t>
  </si>
  <si>
    <t>DNS_FOR_FSAIN_SIDE_B_RED</t>
  </si>
  <si>
    <t>DNS_FOR_FSPTC_SIDE_A_RED</t>
  </si>
  <si>
    <t>DNS_FOR_FSPTC_SIDE_B_RED</t>
  </si>
  <si>
    <t>DNS_FOR_EMS_SIDE_A_RED</t>
  </si>
  <si>
    <t>DNS_FOR_EMS_SIDE_B_RED</t>
  </si>
  <si>
    <t>DNS_FOR_CA_SIDE_A_BLG_COM</t>
  </si>
  <si>
    <t>DNS_FOR_CA_SIDE_B_BLG_COM</t>
  </si>
  <si>
    <t>DNS_FOR_CA_SIDE_A_BLG_LINK_MONITOR</t>
  </si>
  <si>
    <t>DNS_FOR_CA_SIDE_B_BLG_LINK_MONITOR</t>
  </si>
  <si>
    <t>DNS_FOR_CA_SIDE_A_CRIT_COM</t>
  </si>
  <si>
    <t>DNS_FOR_CA_SIDE_B_CRIT_COM</t>
  </si>
  <si>
    <t>DNS_FOR_CA_SIDE_A_ANM_COM</t>
  </si>
  <si>
    <t>DNS_FOR_CA_SIDE_B_ANM_COM</t>
  </si>
  <si>
    <t>#Primary Hostname of the 4 BTS 10200 Nodes</t>
  </si>
  <si>
    <t>#NOTE, if your netmasks are different from 255.255.255.0</t>
  </si>
  <si>
    <t>#You MUST MANUALLY EDIT THE /tmp/netmask file after you run the hostgen.sh</t>
  </si>
  <si>
    <t>#Otherwise the netmask will NOT be setup correctly</t>
  </si>
  <si>
    <t>#Network Address of the Internal Networks</t>
  </si>
  <si>
    <t>#Last Octet of the VoIP/External Access Networks (Telnet/SSH/FTP/etc.)</t>
  </si>
  <si>
    <t>########################################################################</t>
  </si>
  <si>
    <t>#</t>
  </si>
  <si>
    <t>#                               and TARGET_MARKET</t>
  </si>
  <si>
    <t>#   A.Chan      04/15/2003      Added new parameters:</t>
  </si>
  <si>
    <t>#   A.Chan      04/16/2003      Added new parameters:</t>
  </si>
  <si>
    <t>#                               DNS_FOR_CA_SIDE_A_BLG_LINK_MONITOR</t>
  </si>
  <si>
    <t>#   A.Chan      05/02/2003      Added new flag:</t>
  </si>
  <si>
    <t>#   A.Chan      06/06/2003      Add new parameters:</t>
  </si>
  <si>
    <t>#  FILE: opticall.cfg</t>
  </si>
  <si>
    <t>#           host or separate hosts. An Element Manager is installed on</t>
  </si>
  <si>
    <t>Enable GDRS?</t>
  </si>
  <si>
    <t>Enable H323?</t>
  </si>
  <si>
    <t>Enable SS7?</t>
  </si>
  <si>
    <t>Enable IPSEC?</t>
  </si>
  <si>
    <t>Memory Configuration Type</t>
  </si>
  <si>
    <t>BTS Configuration</t>
  </si>
  <si>
    <t>CA Instance Number</t>
  </si>
  <si>
    <t>FSAIN Instance Number</t>
  </si>
  <si>
    <t>FSPTC Instance Number</t>
  </si>
  <si>
    <t>medium</t>
  </si>
  <si>
    <t>Broker DNS for PMG in the CA</t>
  </si>
  <si>
    <t>Broker DNS for PMG in the EMS</t>
  </si>
  <si>
    <t>Example Values</t>
  </si>
  <si>
    <t>broker-&lt;site id&gt;.&lt;domain&gt;</t>
  </si>
  <si>
    <t>brokerems-&lt;site id&gt;.&lt;domain&gt;</t>
  </si>
  <si>
    <t>y</t>
  </si>
  <si>
    <t>MANAGEMENT NETWORK CONFIGURATION DATA FOR EMS, BDMS, CA, FS</t>
  </si>
  <si>
    <t>INTERNAL (PRIVATE) NETWORK CONFIGURATION DATA</t>
  </si>
  <si>
    <t>SIGNALLING  NETWORK CONFIGURATION DATA FOR CA, FS</t>
  </si>
  <si>
    <t>DNS DATA</t>
  </si>
  <si>
    <t>Enter these domain names and IP addresses into the following DNS server(s):</t>
  </si>
  <si>
    <t>INSTALLATION DATA FOR opticall.cfg FILE</t>
  </si>
  <si>
    <t>#Netmasks of the 2 Management Networks</t>
  </si>
  <si>
    <t>n</t>
  </si>
  <si>
    <t>DNS_FOR_CA_MGCP_COM</t>
  </si>
  <si>
    <t>Prepared by (Name):</t>
  </si>
  <si>
    <t>NIDS GENERATOR USAGE INSTRUCTIONS</t>
  </si>
  <si>
    <t>SECONDARY_NTP_SERVER</t>
  </si>
  <si>
    <t>Side A (Primary) CA/FS Hostname</t>
  </si>
  <si>
    <t>Side A (Primary) EMS/BDMS Hostname</t>
  </si>
  <si>
    <t>Side B (Secondary) CA/FS Hostname</t>
  </si>
  <si>
    <t>Side B (Secondary) EMS/BDMS Hostname</t>
  </si>
  <si>
    <t>$TTL 28800</t>
  </si>
  <si>
    <t>The generated "opticall.cfg file" and "hostconfig file" tab sheets can be copied and pasted directly into text files and loaded onto the BTS hosts during installation.</t>
  </si>
  <si>
    <t>Subnet for management network 1</t>
  </si>
  <si>
    <t>Subnet for management network 2</t>
  </si>
  <si>
    <t>Subnet for signaling network 1</t>
  </si>
  <si>
    <t>Subnet for signaling network 2</t>
  </si>
  <si>
    <t>Broker IP Addr 1 for mgmt netwk (4th octet)</t>
  </si>
  <si>
    <t>Broker IP Addr 2 for mgmt netwk (4th octet)</t>
  </si>
  <si>
    <t>Broker IP Addr 1 for signaling netwk (4th octet)</t>
  </si>
  <si>
    <t>Rev 30</t>
  </si>
  <si>
    <t>Added to  DNS CNR TAB, REVERSE DNS CNR TAB,  DNS BIND FILE TAB and REVERSE DNS BIND FILE TAB, the entries for mdii-aMAIN-STEMS, mdii-bMAIN-STEMS,iua-aMAIN-STCA, iua-bMAIN-STCA.</t>
  </si>
  <si>
    <t>Broker IP Addr 2 for signaling netwk (4th octet)</t>
  </si>
  <si>
    <t>#                                                                      #</t>
  </si>
  <si>
    <t>#     E N D   O F   O P T I C A L L . C F G   D E F I N I T I O N      #</t>
  </si>
  <si>
    <t>NETWORK INFORMATION DATA SHEET - CORE HOST INFORMATION &amp; NETWORK TABLES</t>
  </si>
  <si>
    <r>
      <t xml:space="preserve">                     </t>
    </r>
    <r>
      <rPr>
        <b/>
        <u val="single"/>
        <sz val="10"/>
        <rFont val="Arial"/>
        <family val="2"/>
      </rPr>
      <t>Prepared by Cisco Systems:</t>
    </r>
  </si>
  <si>
    <r>
      <t xml:space="preserve">Enter the appropriate information from the NSS or other source(s) in the "NIDS Data Entry + Netwk tables" tab sheet.  The data-entry fields are the </t>
    </r>
    <r>
      <rPr>
        <sz val="10"/>
        <rFont val="Arial"/>
        <family val="2"/>
      </rPr>
      <t>yellow</t>
    </r>
    <r>
      <rPr>
        <sz val="10"/>
        <rFont val="Arial"/>
        <family val="0"/>
      </rPr>
      <t xml:space="preserve"> fields with default entries in </t>
    </r>
    <r>
      <rPr>
        <sz val="10"/>
        <color indexed="10"/>
        <rFont val="Arial"/>
        <family val="2"/>
      </rPr>
      <t>red</t>
    </r>
    <r>
      <rPr>
        <sz val="10"/>
        <rFont val="Arial"/>
        <family val="0"/>
      </rPr>
      <t xml:space="preserve"> text.  You'll notice most fields have "hover" comments that give background information on the values to be entered.</t>
    </r>
  </si>
  <si>
    <t>10.89.123.1</t>
  </si>
  <si>
    <t>10.89.124.1</t>
  </si>
  <si>
    <t>ce0</t>
  </si>
  <si>
    <t>ce1</t>
  </si>
  <si>
    <r>
      <t xml:space="preserve">The user only needs to enter the </t>
    </r>
    <r>
      <rPr>
        <b/>
        <i/>
        <u val="single"/>
        <sz val="10"/>
        <rFont val="Arial"/>
        <family val="0"/>
      </rPr>
      <t>core</t>
    </r>
    <r>
      <rPr>
        <b/>
        <i/>
        <sz val="10"/>
        <rFont val="Arial"/>
        <family val="0"/>
      </rPr>
      <t xml:space="preserve"> installation-specific information.  The workbook then generates all the tables &amp; entries for the NIDS document including the DNS translations, as well as easily cut &amp; paste-able versions of the "opticall.cfg" and "hostconfig" and DNS BIND files.</t>
    </r>
  </si>
  <si>
    <t>SYSTEM_AUTO_RESTART_RATE_FSPOTS</t>
  </si>
  <si>
    <t># Copyright (c) 2002-2007 by Cisco Systems, Inc.</t>
  </si>
  <si>
    <t>#   A.Chan      09/14/2005      remove DNS_FOR_CA_MGCP_COM</t>
  </si>
  <si>
    <t>#   A.Chan      11/21/2005      add a new mem.cfg cable8p</t>
  </si>
  <si>
    <t>#   W.Chu       11/21/2005      add new parameters:</t>
  </si>
  <si>
    <t>#                               DNS_FOR_EMS_SIDE_A_MDII_COM</t>
  </si>
  <si>
    <t xml:space="preserve">#                               DNS_FOR_EMS_SIDE_A_MDII_COM </t>
  </si>
  <si>
    <t>#   A.Chan      06/25/2006      Add more values for NAMED_ENABLED</t>
  </si>
  <si>
    <t>#   Kefu He     07/27/2006      add BILLING_FILENAME_TYPE</t>
  </si>
  <si>
    <t>#   K.Walzel    08/02/2006      add SHARED_MEMORY_BACKUP_START_TIME</t>
  </si>
  <si>
    <t>#   A.Chan      09/26/2006      Add comment to warn user that any change</t>
  </si>
  <si>
    <t>#                               in this file will not take effect until next</t>
  </si>
  <si>
    <t xml:space="preserve">#                               fresh installatoin/upgrade </t>
  </si>
  <si>
    <t>#                               in fresh installation/upgrade</t>
  </si>
  <si>
    <t xml:space="preserve">#   Yu Zhang    10/25/2006      add BILLING_FD_TYPE </t>
  </si>
  <si>
    <t xml:space="preserve">#                               add BILLING_RD_TYPE </t>
  </si>
  <si>
    <t xml:space="preserve"># Note:  The parameters below are applied to the system only during fresh </t>
  </si>
  <si>
    <t xml:space="preserve">#        install/upgrade. Changing these parameters will not take effect until </t>
  </si>
  <si>
    <t xml:space="preserve">#        the next re-install/upgrade. Any changes to these parameters should be </t>
  </si>
  <si>
    <t xml:space="preserve">#        done only with a full understanding of the impact of such changes to the </t>
  </si>
  <si>
    <t>#        system, after consultation with Cisco.</t>
  </si>
  <si>
    <t xml:space="preserve">This workbook was designed to easily and simply generate the NIDS document entries from the NSS information obtained from the customer. 
</t>
  </si>
  <si>
    <t>EMS/BDMS 1st Management Interface</t>
  </si>
  <si>
    <t>EMS/BDMS 2nd Management Interface</t>
  </si>
  <si>
    <t>CA/FS 1st Management Interface</t>
  </si>
  <si>
    <t>CA/FS 2nd Management Interface</t>
  </si>
  <si>
    <t>CA/FS 1st Signalling Interface</t>
  </si>
  <si>
    <t>CA/FS 2nd Signalling Interface</t>
  </si>
  <si>
    <t>qfe0</t>
  </si>
  <si>
    <t>qfe1</t>
  </si>
  <si>
    <t>##################################################################</t>
  </si>
  <si>
    <t>##</t>
  </si>
  <si>
    <t>## DNS Entries for BTS 10200 Internal Communications:</t>
  </si>
  <si>
    <t>## BTS 10200  CNR DNS End</t>
  </si>
  <si>
    <t>Similarly, the generated "DNS CNR file" or "DNS BIND file" tab sheet can be copied and pasted directly into a text file and loaded onto the CNR / DNS servers if required.</t>
  </si>
  <si>
    <t>## Reverse DNS Entries for BTS 10200 Internal Communications:</t>
  </si>
  <si>
    <t>$ORIGIN in-addr.arpa.</t>
  </si>
  <si>
    <t>Finally, the generated "Reverse DNS CNR file" or "Reverse DNS BIND file" tab sheet can be copied and pasted directly into a text file and loaded onto the CNR / DNS servers if required.</t>
  </si>
  <si>
    <t>#                               BROKER_DNS_FOR_PMG_IN_EMS</t>
  </si>
  <si>
    <t>#                               BROKER_DNS_FOR_PMG_IN_CA</t>
  </si>
  <si>
    <t>#                               DNS_FOR_EMS_SIDE_A_OMS_SLAVE_HUB</t>
  </si>
  <si>
    <t>#                               remove NSCD_NAMED_ENABLED</t>
  </si>
  <si>
    <t>NAMED_ENABLED</t>
  </si>
  <si>
    <t># This flag indicate the customer type of market. The valid values</t>
  </si>
  <si>
    <t># CABLE: large universes of DHCP assigned IP addresses</t>
  </si>
  <si>
    <t>Market Type</t>
  </si>
  <si>
    <t>CABLE</t>
  </si>
  <si>
    <t>MARKET_TYPE</t>
  </si>
  <si>
    <t>Enable NAMED function of DNS?</t>
  </si>
  <si>
    <t>DATE</t>
  </si>
  <si>
    <t>REVISION</t>
  </si>
  <si>
    <t>----------</t>
  </si>
  <si>
    <t>----------------------------------------</t>
  </si>
  <si>
    <t>initial</t>
  </si>
  <si>
    <t>changed domain names for redundancy</t>
  </si>
  <si>
    <t>added section info</t>
  </si>
  <si>
    <t>change mgcp to only one name and</t>
  </si>
  <si>
    <t>change CLASS parameter</t>
  </si>
  <si>
    <t>Added new parameter DNS_FOR_CAxxx_SIA_COM</t>
  </si>
  <si>
    <r>
      <t>Note</t>
    </r>
    <r>
      <rPr>
        <sz val="10"/>
        <rFont val="Arial"/>
        <family val="0"/>
      </rPr>
      <t xml:space="preserve">: </t>
    </r>
    <r>
      <rPr>
        <i/>
        <sz val="10"/>
        <rFont val="Arial"/>
        <family val="2"/>
      </rPr>
      <t>For all auto-restart parameters the defaults should be used unless there is a strong reason to change it, and the impacts are fully understood</t>
    </r>
  </si>
  <si>
    <t>Billing Records</t>
  </si>
  <si>
    <t>Billing Record - Field Delimiter Type</t>
  </si>
  <si>
    <t>Billing Record - Record  Delimiter Type</t>
  </si>
  <si>
    <t>semicolon</t>
  </si>
  <si>
    <t>verticalbar</t>
  </si>
  <si>
    <t>DNS_FOR_EMS_SIDE_A_MDII_COM</t>
  </si>
  <si>
    <t>DNS_FOR_EMS_SIDE_B_MDII_COM</t>
  </si>
  <si>
    <t>DNS_FOR_CA_SIDE_A_IUA_COM</t>
  </si>
  <si>
    <t>DNS_FOR_CA_SIDE_B_IUA_COM</t>
  </si>
  <si>
    <t># specified in 24 hour time format 'hh:mm'.</t>
  </si>
  <si>
    <t>BILLING_FD_TYPE</t>
  </si>
  <si>
    <t>BILLING_RD_TYPE</t>
  </si>
  <si>
    <t># The following parameters are related to Billing Subsystem, used by BMG process.</t>
  </si>
  <si>
    <t xml:space="preserve">#  1. Currently BTS supports two different billing record file naming conventions: </t>
  </si>
  <si>
    <t>#     default naming convention and PacketCable naming convention.</t>
  </si>
  <si>
    <t xml:space="preserve">#     The values of this parameter are: </t>
  </si>
  <si>
    <t xml:space="preserve">#       - "Default", Default naming convention. </t>
  </si>
  <si>
    <t>#       - "PacketCable", PacketCable naming convention.</t>
  </si>
  <si>
    <t>#     The default value of this parameter is "Default".</t>
  </si>
  <si>
    <t>#           semicolon or semi-colon       ;</t>
  </si>
  <si>
    <t>#           verticalbar or vertical-bar   |</t>
  </si>
  <si>
    <t>#           linefeed                      \n</t>
  </si>
  <si>
    <t>#           comma                         ,</t>
  </si>
  <si>
    <t>#           caret                         ^</t>
  </si>
  <si>
    <t>#     delimiters, used in the BTS Billing File:</t>
  </si>
  <si>
    <t xml:space="preserve">#  2. Also, BTS supports the following FD(Field Delimiter) and RD(Record Delimiter) </t>
  </si>
  <si>
    <t>Rev 29</t>
  </si>
  <si>
    <t>Changed the 'BTS Configuration' to accept only option 1.</t>
  </si>
  <si>
    <t>#      (3) FD and RD can not be the same</t>
  </si>
  <si>
    <t># Note:(1) FD's default value is semicolon(;), RD's default value is verticalbar(|)</t>
  </si>
  <si>
    <t>#      (2) FD is the field delimiter in the call detailed record(CDR) in billing file,</t>
  </si>
  <si>
    <t xml:space="preserve">#          RD is the record delimiter in the billing file   </t>
  </si>
  <si>
    <t>#      (4) The install/upgrade person should configure the BILLING_FD_TYPE and</t>
  </si>
  <si>
    <t xml:space="preserve">#          BILLING_RD_TYPE value manually before install/upgrade. If not, the default </t>
  </si>
  <si>
    <t>#          value is used.</t>
  </si>
  <si>
    <t>BILLING_FD_TYPE=</t>
  </si>
  <si>
    <t xml:space="preserve"># These are qualified DNS names used by BMS (in EMS host) and </t>
  </si>
  <si>
    <t># EMA (in CA host) to talk to  MDII process. This MDII process currently</t>
  </si>
  <si>
    <t xml:space="preserve"># resides on the EMS. Each parameter should return two internal IP </t>
  </si>
  <si>
    <t># addresses of each EMS host.</t>
  </si>
  <si>
    <t>#================ END  OF  EMS  REQUIRED  DNS  NAMES   =====================</t>
  </si>
  <si>
    <t>#====================   AUTO RESTART PARAMETERS   ======================</t>
  </si>
  <si>
    <t># Delay is the time in minutes that a side will delay before doing an</t>
  </si>
  <si>
    <t># auto restart.  The default is 10 minutes.</t>
  </si>
  <si>
    <t># Restart Rate is the number of times over a 30 minute period an</t>
  </si>
  <si>
    <t># automatic restart will be attempted.  The default is 3.</t>
  </si>
  <si>
    <t>#=================  END OF AUTO RESTART PARAMETERS =====================</t>
  </si>
  <si>
    <t>SYSTEM_AUTO_RESTART_DELAY_CA</t>
  </si>
  <si>
    <t>SYSTEM_AUTO_RESTART_DELAY_FSAIN</t>
  </si>
  <si>
    <t>SYSTEM_AUTO_RESTART_DELAY_FSPOTS</t>
  </si>
  <si>
    <t>SYSTEM_AUTO_RESTART_DELAY_EMS</t>
  </si>
  <si>
    <t>SYSTEM_AUTO_RESTART_DELAY_BMS</t>
  </si>
  <si>
    <t>SYSTEM_AUTO_RESTART_RATE_CA</t>
  </si>
  <si>
    <t>SYSTEM_AUTO_RESTART_RATE_FSAIN</t>
  </si>
  <si>
    <t>SYSTEM_AUTO_RESTART_RATE_EMS</t>
  </si>
  <si>
    <t>SYSTEM_AUTO_RESTART_RATE_BMS</t>
  </si>
  <si>
    <t>Added new parameters:</t>
  </si>
  <si>
    <t>#   AUTHOR      DATE            REVISION</t>
  </si>
  <si>
    <t>#   ---------   ----------      ----------------------------------------</t>
  </si>
  <si>
    <t>#   J.Daih      05/04/2000      initial</t>
  </si>
  <si>
    <t>#   J.Daih      08/15/2000      changed domain names for redundancy</t>
  </si>
  <si>
    <t>#   J.Daih      08/23/2000      added section info</t>
  </si>
  <si>
    <t>#   J.Daih      04/25/2001      change mgcp to only one name and</t>
  </si>
  <si>
    <t>#                               added critical route IP for pmg</t>
  </si>
  <si>
    <t>#   J.Daih      12/11/2001      change CLASS parameter</t>
  </si>
  <si>
    <t>#   J.Daih      02/04/2002      Added new parameter DNS_FOR_CAxxx_SIA_COM</t>
  </si>
  <si>
    <t>#   J.Daih      07/01/2002      Added new parameters:</t>
  </si>
  <si>
    <t>#                               DNS_FOR_FSAIN_SIDE_A_SGW_COM</t>
  </si>
  <si>
    <t>#                               DNS_FOR_FSAIN_SIDE_B_SGW_COM</t>
  </si>
  <si>
    <t>#                               DNS_FOR_FSPTC_SIDE_A_SGW_COM</t>
  </si>
  <si>
    <t>#                               DNS_FOR_FSPTC_SIDE_B_SGW_COM</t>
  </si>
  <si>
    <t>Equivalent to BTS10200 Release:</t>
  </si>
  <si>
    <t>Update History:</t>
  </si>
  <si>
    <t>This was generated base on 4.5.0Q00 opticall.cfg file</t>
  </si>
  <si>
    <t># These are the NTP servers used by BTS system to sync the time.</t>
  </si>
  <si>
    <t># All the servers should be in the same line and separated by space</t>
  </si>
  <si>
    <t># They should be double-quoted together as "x.x.x.x y.y.y.y z.z.z.z"</t>
  </si>
  <si>
    <t># During upgrade, all servers from ntp.conf will be automatically added here.</t>
  </si>
  <si>
    <t># So in order to remove one ntp server, this server needs</t>
  </si>
  <si>
    <t># to be removed from both opticall.cfg and /etc/BTSxntp/etc/ntp.conf</t>
  </si>
  <si>
    <t># before upgrade</t>
  </si>
  <si>
    <t># Each name resolves to two logical IP addresses in the same subnet</t>
  </si>
  <si>
    <t>AUTO RESTART PARAMETERS</t>
  </si>
  <si>
    <t>Auto Restart Delay</t>
  </si>
  <si>
    <t>Auto Restart Rate</t>
  </si>
  <si>
    <t xml:space="preserve">AUTOMATIC SHARED MEMORY BACKUP </t>
  </si>
  <si>
    <t>Backup Start Time</t>
  </si>
  <si>
    <t xml:space="preserve">            FSAIN</t>
  </si>
  <si>
    <t xml:space="preserve">            FSPTC</t>
  </si>
  <si>
    <t xml:space="preserve">            EMS</t>
  </si>
  <si>
    <t xml:space="preserve">            BDMS</t>
  </si>
  <si>
    <t xml:space="preserve">            Call Agent</t>
  </si>
  <si>
    <t>10.89.224.2</t>
  </si>
  <si>
    <t>Modifed based on 4.5.0Q16 opticall.cfg file. Fixed certain formula entries</t>
  </si>
  <si>
    <t>#                               DNS_FOR_CAxxx_H3A_COM</t>
  </si>
  <si>
    <t>#                               DNS_FOR_CAxxx_MGA_COM</t>
  </si>
  <si>
    <t>#                               DNS_FOR_CA_SIDE_B_BLG_LINK_MONITOR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</si>
</sst>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409]d\-mmm\-yyyy;@"/>
    <numFmt numFmtId="171" formatCode="[$-409]h:mm:ss\ AM/PM"/>
    <numFmt numFmtId="172" formatCode="h:mm;@"/>
    <numFmt numFmtId="173" formatCode="0;[Red]0"/>
  </numFmts>
  <fonts count="40">
    <font>
      <sz val="10"/>
      <name val="Arial"/>
      <family val="0"/>
    </font>
    <font>
      <sz val="8"/>
      <name val="Arial"/>
      <family val="0"/>
    </font>
    <font>
      <b/>
      <sz val="10"/>
      <name val="Arial"/>
      <family val="2"/>
    </font>
    <font>
      <b/>
      <sz val="10"/>
      <color indexed="10"/>
      <name val="Arial"/>
      <family val="2"/>
    </font>
    <font>
      <b/>
      <u val="single"/>
      <sz val="8"/>
      <name val="Arial"/>
      <family val="2"/>
    </font>
    <font>
      <u val="single"/>
      <sz val="10"/>
      <color indexed="12"/>
      <name val="Arial"/>
      <family val="0"/>
    </font>
    <font>
      <b/>
      <sz val="16"/>
      <color indexed="8"/>
      <name val="Arial"/>
      <family val="2"/>
    </font>
    <font>
      <i/>
      <sz val="9"/>
      <name val="Arial"/>
      <family val="2"/>
    </font>
    <font>
      <i/>
      <sz val="10"/>
      <name val="Arial"/>
      <family val="2"/>
    </font>
    <font>
      <b/>
      <u val="single"/>
      <sz val="10"/>
      <name val="Arial"/>
      <family val="2"/>
    </font>
    <font>
      <b/>
      <i/>
      <sz val="10"/>
      <name val="Arial"/>
      <family val="2"/>
    </font>
    <font>
      <u val="single"/>
      <sz val="10"/>
      <color indexed="36"/>
      <name val="Arial"/>
      <family val="0"/>
    </font>
    <font>
      <sz val="10"/>
      <color indexed="22"/>
      <name val="Arial"/>
      <family val="0"/>
    </font>
    <font>
      <sz val="10"/>
      <color indexed="14"/>
      <name val="Arial"/>
      <family val="0"/>
    </font>
    <font>
      <sz val="10"/>
      <color indexed="18"/>
      <name val="Arial"/>
      <family val="0"/>
    </font>
    <font>
      <b/>
      <u val="single"/>
      <sz val="8"/>
      <name val="Tahoma"/>
      <family val="2"/>
    </font>
    <font>
      <b/>
      <u val="single"/>
      <sz val="3"/>
      <name val="Tahoma"/>
      <family val="2"/>
    </font>
    <font>
      <b/>
      <sz val="3"/>
      <name val="Tahoma"/>
      <family val="2"/>
    </font>
    <font>
      <b/>
      <sz val="8"/>
      <name val="Tahoma"/>
      <family val="0"/>
    </font>
    <font>
      <b/>
      <sz val="2"/>
      <name val="Tahoma"/>
      <family val="2"/>
    </font>
    <font>
      <b/>
      <u val="single"/>
      <sz val="13"/>
      <name val="Arial"/>
      <family val="2"/>
    </font>
    <font>
      <b/>
      <sz val="11"/>
      <name val="Arial"/>
      <family val="2"/>
    </font>
    <font>
      <sz val="10"/>
      <name val="Courier New"/>
      <family val="3"/>
    </font>
    <font>
      <sz val="11"/>
      <name val="Arial"/>
      <family val="2"/>
    </font>
    <font>
      <b/>
      <u val="single"/>
      <sz val="16"/>
      <color indexed="8"/>
      <name val="Arial"/>
      <family val="2"/>
    </font>
    <font>
      <sz val="10"/>
      <color indexed="10"/>
      <name val="Arial"/>
      <family val="2"/>
    </font>
    <font>
      <b/>
      <sz val="10"/>
      <color indexed="22"/>
      <name val="Arial"/>
      <family val="0"/>
    </font>
    <font>
      <b/>
      <i/>
      <u val="single"/>
      <sz val="10"/>
      <name val="Arial"/>
      <family val="0"/>
    </font>
    <font>
      <b/>
      <i/>
      <sz val="10"/>
      <color indexed="10"/>
      <name val="Arial"/>
      <family val="0"/>
    </font>
    <font>
      <b/>
      <i/>
      <sz val="12"/>
      <color indexed="10"/>
      <name val="Arial"/>
      <family val="2"/>
    </font>
    <font>
      <b/>
      <sz val="12"/>
      <name val="Arial"/>
      <family val="2"/>
    </font>
    <font>
      <sz val="8"/>
      <name val="Tahoma"/>
      <family val="0"/>
    </font>
    <font>
      <i/>
      <u val="single"/>
      <sz val="10"/>
      <name val="Arial"/>
      <family val="2"/>
    </font>
    <font>
      <u val="single"/>
      <sz val="10"/>
      <name val="Arial"/>
      <family val="2"/>
    </font>
    <font>
      <sz val="10"/>
      <name val="Roman"/>
      <family val="1"/>
    </font>
    <font>
      <b/>
      <sz val="8"/>
      <color indexed="10"/>
      <name val="Tahoma"/>
      <family val="2"/>
    </font>
    <font>
      <b/>
      <sz val="10"/>
      <name val="Roman"/>
      <family val="1"/>
    </font>
    <font>
      <sz val="10"/>
      <name val="Courier"/>
      <family val="3"/>
    </font>
    <font>
      <b/>
      <u val="single"/>
      <sz val="8"/>
      <color indexed="10"/>
      <name val="Tahoma"/>
      <family val="2"/>
    </font>
    <font>
      <b/>
      <sz val="8"/>
      <name val="Arial"/>
      <family val="2"/>
    </font>
  </fonts>
  <fills count="8">
    <fill>
      <patternFill/>
    </fill>
    <fill>
      <patternFill patternType="gray125"/>
    </fill>
    <fill>
      <patternFill patternType="solid">
        <fgColor indexed="49"/>
        <bgColor indexed="64"/>
      </patternFill>
    </fill>
    <fill>
      <patternFill patternType="solid">
        <fgColor indexed="43"/>
        <bgColor indexed="64"/>
      </patternFill>
    </fill>
    <fill>
      <patternFill patternType="solid">
        <fgColor indexed="22"/>
        <bgColor indexed="64"/>
      </patternFill>
    </fill>
    <fill>
      <patternFill patternType="gray0625">
        <bgColor indexed="9"/>
      </patternFill>
    </fill>
    <fill>
      <patternFill patternType="solid">
        <fgColor indexed="9"/>
        <bgColor indexed="64"/>
      </patternFill>
    </fill>
    <fill>
      <patternFill patternType="gray0625">
        <fgColor indexed="9"/>
        <bgColor indexed="9"/>
      </patternFill>
    </fill>
  </fills>
  <borders count="18">
    <border>
      <left/>
      <right/>
      <top/>
      <bottom/>
      <diagonal/>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double"/>
    </border>
    <border>
      <left style="thin"/>
      <right style="thin"/>
      <top style="thin"/>
      <bottom style="double"/>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02">
    <xf numFmtId="0" fontId="0" fillId="0" borderId="0" xfId="0" applyAlignment="1">
      <alignment/>
    </xf>
    <xf numFmtId="0" fontId="1" fillId="0" borderId="0" xfId="0" applyFont="1" applyAlignment="1">
      <alignment/>
    </xf>
    <xf numFmtId="0" fontId="2" fillId="0" borderId="1" xfId="0" applyFont="1" applyBorder="1" applyAlignment="1" applyProtection="1">
      <alignment/>
      <protection/>
    </xf>
    <xf numFmtId="0" fontId="0" fillId="0" borderId="2" xfId="0" applyFont="1" applyBorder="1" applyAlignment="1" applyProtection="1">
      <alignment/>
      <protection/>
    </xf>
    <xf numFmtId="0" fontId="0" fillId="0" borderId="1" xfId="0" applyBorder="1" applyAlignment="1" applyProtection="1">
      <alignment horizontal="center"/>
      <protection/>
    </xf>
    <xf numFmtId="0" fontId="0" fillId="0" borderId="3" xfId="0" applyFont="1" applyBorder="1" applyAlignment="1" applyProtection="1">
      <alignment/>
      <protection/>
    </xf>
    <xf numFmtId="0" fontId="0" fillId="0" borderId="4" xfId="0" applyFont="1" applyBorder="1" applyAlignment="1" applyProtection="1">
      <alignment/>
      <protection/>
    </xf>
    <xf numFmtId="0" fontId="0" fillId="0" borderId="1" xfId="0" applyNumberFormat="1" applyBorder="1" applyAlignment="1" applyProtection="1">
      <alignment horizontal="center"/>
      <protection/>
    </xf>
    <xf numFmtId="0" fontId="0" fillId="0" borderId="3" xfId="0" applyBorder="1" applyAlignment="1" applyProtection="1">
      <alignment horizontal="right"/>
      <protection/>
    </xf>
    <xf numFmtId="0" fontId="0" fillId="0" borderId="1" xfId="0" applyFont="1" applyBorder="1" applyAlignment="1" applyProtection="1">
      <alignment/>
      <protection/>
    </xf>
    <xf numFmtId="0" fontId="0" fillId="0" borderId="5" xfId="0" applyFont="1" applyBorder="1" applyAlignment="1" applyProtection="1">
      <alignment/>
      <protection/>
    </xf>
    <xf numFmtId="0" fontId="0" fillId="0" borderId="5" xfId="0" applyBorder="1" applyAlignment="1" applyProtection="1">
      <alignment horizontal="center"/>
      <protection/>
    </xf>
    <xf numFmtId="0" fontId="0" fillId="0" borderId="6" xfId="0" applyFont="1" applyBorder="1" applyAlignment="1" applyProtection="1">
      <alignment/>
      <protection/>
    </xf>
    <xf numFmtId="0" fontId="0" fillId="0" borderId="7" xfId="0" applyBorder="1" applyAlignment="1" applyProtection="1">
      <alignment horizontal="center"/>
      <protection/>
    </xf>
    <xf numFmtId="0" fontId="2" fillId="2" borderId="1" xfId="0" applyFont="1" applyFill="1" applyBorder="1" applyAlignment="1" applyProtection="1">
      <alignment/>
      <protection/>
    </xf>
    <xf numFmtId="0" fontId="2" fillId="2" borderId="1" xfId="0" applyFont="1" applyFill="1" applyBorder="1" applyAlignment="1" applyProtection="1">
      <alignment horizontal="left" wrapText="1"/>
      <protection/>
    </xf>
    <xf numFmtId="49" fontId="0" fillId="0" borderId="1" xfId="0" applyNumberFormat="1" applyBorder="1" applyAlignment="1" applyProtection="1">
      <alignment horizontal="left"/>
      <protection/>
    </xf>
    <xf numFmtId="0" fontId="0" fillId="0" borderId="1" xfId="0" applyBorder="1" applyAlignment="1" applyProtection="1">
      <alignment horizontal="left"/>
      <protection/>
    </xf>
    <xf numFmtId="49" fontId="4" fillId="0" borderId="0" xfId="0" applyNumberFormat="1" applyFont="1" applyAlignment="1">
      <alignment vertical="top"/>
    </xf>
    <xf numFmtId="0" fontId="4" fillId="0" borderId="0" xfId="0" applyFont="1" applyAlignment="1">
      <alignment vertical="top" wrapText="1"/>
    </xf>
    <xf numFmtId="49" fontId="1" fillId="0" borderId="0" xfId="0" applyNumberFormat="1" applyFont="1" applyAlignment="1">
      <alignment vertical="top"/>
    </xf>
    <xf numFmtId="0" fontId="1" fillId="0" borderId="0" xfId="0" applyFont="1" applyAlignment="1">
      <alignment vertical="top" wrapText="1"/>
    </xf>
    <xf numFmtId="0" fontId="2" fillId="3" borderId="8" xfId="0" applyNumberFormat="1" applyFont="1" applyFill="1" applyBorder="1" applyAlignment="1" applyProtection="1">
      <alignment horizontal="left"/>
      <protection locked="0"/>
    </xf>
    <xf numFmtId="14" fontId="4" fillId="0" borderId="0" xfId="0" applyNumberFormat="1" applyFont="1" applyAlignment="1">
      <alignment horizontal="left" vertical="top"/>
    </xf>
    <xf numFmtId="14" fontId="1" fillId="0" borderId="0" xfId="0" applyNumberFormat="1" applyFont="1" applyAlignment="1">
      <alignment horizontal="left" vertical="top"/>
    </xf>
    <xf numFmtId="0" fontId="0" fillId="0" borderId="1" xfId="0" applyNumberFormat="1" applyFont="1" applyBorder="1" applyAlignment="1" applyProtection="1">
      <alignment horizontal="left"/>
      <protection/>
    </xf>
    <xf numFmtId="0" fontId="2" fillId="3" borderId="3" xfId="0" applyNumberFormat="1" applyFont="1" applyFill="1" applyBorder="1" applyAlignment="1" applyProtection="1">
      <alignment horizontal="left"/>
      <protection locked="0"/>
    </xf>
    <xf numFmtId="49" fontId="2" fillId="3" borderId="3" xfId="0" applyNumberFormat="1" applyFont="1" applyFill="1" applyBorder="1" applyAlignment="1" applyProtection="1">
      <alignment horizontal="left"/>
      <protection locked="0"/>
    </xf>
    <xf numFmtId="0" fontId="2" fillId="0" borderId="3" xfId="0" applyNumberFormat="1" applyFont="1" applyFill="1" applyBorder="1" applyAlignment="1" applyProtection="1">
      <alignment/>
      <protection locked="0"/>
    </xf>
    <xf numFmtId="49" fontId="0" fillId="0" borderId="8" xfId="0" applyNumberFormat="1" applyBorder="1" applyAlignment="1" applyProtection="1">
      <alignment horizontal="left"/>
      <protection/>
    </xf>
    <xf numFmtId="0" fontId="0" fillId="0" borderId="8" xfId="0" applyBorder="1" applyAlignment="1" applyProtection="1">
      <alignment horizontal="left"/>
      <protection/>
    </xf>
    <xf numFmtId="0" fontId="2" fillId="3" borderId="4" xfId="0" applyNumberFormat="1" applyFont="1" applyFill="1" applyBorder="1" applyAlignment="1" applyProtection="1">
      <alignment horizontal="left"/>
      <protection locked="0"/>
    </xf>
    <xf numFmtId="0" fontId="6" fillId="4" borderId="0" xfId="0" applyFont="1" applyFill="1" applyAlignment="1" applyProtection="1">
      <alignment/>
      <protection/>
    </xf>
    <xf numFmtId="0" fontId="0" fillId="4" borderId="0" xfId="0" applyFill="1" applyAlignment="1" applyProtection="1">
      <alignment/>
      <protection/>
    </xf>
    <xf numFmtId="0" fontId="0" fillId="4" borderId="0" xfId="0" applyFill="1" applyAlignment="1" applyProtection="1">
      <alignment horizontal="left"/>
      <protection/>
    </xf>
    <xf numFmtId="0" fontId="0" fillId="4" borderId="0" xfId="0" applyFill="1" applyAlignment="1" applyProtection="1">
      <alignment horizontal="center"/>
      <protection/>
    </xf>
    <xf numFmtId="14" fontId="0" fillId="4" borderId="0" xfId="0" applyNumberFormat="1" applyFill="1" applyAlignment="1" applyProtection="1">
      <alignment horizontal="center" vertical="center" wrapText="1"/>
      <protection/>
    </xf>
    <xf numFmtId="0" fontId="2" fillId="4" borderId="0" xfId="0" applyFont="1" applyFill="1" applyAlignment="1" applyProtection="1">
      <alignment/>
      <protection/>
    </xf>
    <xf numFmtId="0" fontId="10" fillId="4" borderId="0" xfId="0" applyFont="1" applyFill="1" applyAlignment="1" applyProtection="1">
      <alignment horizontal="right"/>
      <protection/>
    </xf>
    <xf numFmtId="0" fontId="0" fillId="4" borderId="0" xfId="0" applyNumberFormat="1" applyFill="1" applyAlignment="1" applyProtection="1">
      <alignment/>
      <protection/>
    </xf>
    <xf numFmtId="0" fontId="0" fillId="4" borderId="0" xfId="0" applyFill="1" applyBorder="1" applyAlignment="1" applyProtection="1">
      <alignment/>
      <protection/>
    </xf>
    <xf numFmtId="0" fontId="20" fillId="4" borderId="0" xfId="0" applyFont="1" applyFill="1" applyAlignment="1">
      <alignment/>
    </xf>
    <xf numFmtId="0" fontId="2" fillId="4" borderId="0" xfId="0" applyFont="1" applyFill="1" applyAlignment="1" applyProtection="1">
      <alignment horizontal="left"/>
      <protection/>
    </xf>
    <xf numFmtId="0" fontId="14" fillId="4" borderId="0" xfId="0" applyFont="1" applyFill="1" applyAlignment="1" applyProtection="1">
      <alignment/>
      <protection/>
    </xf>
    <xf numFmtId="0" fontId="8" fillId="4" borderId="0" xfId="0" applyFont="1" applyFill="1" applyBorder="1" applyAlignment="1" applyProtection="1">
      <alignment/>
      <protection/>
    </xf>
    <xf numFmtId="0" fontId="2" fillId="4" borderId="0" xfId="0" applyFont="1" applyFill="1" applyBorder="1" applyAlignment="1" applyProtection="1">
      <alignment/>
      <protection/>
    </xf>
    <xf numFmtId="0" fontId="2" fillId="4" borderId="9" xfId="0" applyNumberFormat="1" applyFont="1" applyFill="1" applyBorder="1" applyAlignment="1" applyProtection="1">
      <alignment horizontal="left"/>
      <protection/>
    </xf>
    <xf numFmtId="0" fontId="0" fillId="4" borderId="0" xfId="0" applyFill="1" applyBorder="1" applyAlignment="1" applyProtection="1">
      <alignment horizontal="left"/>
      <protection/>
    </xf>
    <xf numFmtId="0" fontId="0" fillId="4" borderId="0" xfId="0" applyFill="1" applyBorder="1" applyAlignment="1" applyProtection="1">
      <alignment horizontal="center"/>
      <protection/>
    </xf>
    <xf numFmtId="0" fontId="7" fillId="4" borderId="0" xfId="0" applyFont="1" applyFill="1" applyBorder="1" applyAlignment="1" applyProtection="1">
      <alignment wrapText="1"/>
      <protection/>
    </xf>
    <xf numFmtId="0" fontId="0" fillId="4" borderId="0" xfId="0" applyFill="1" applyAlignment="1" applyProtection="1">
      <alignment wrapText="1"/>
      <protection/>
    </xf>
    <xf numFmtId="49" fontId="2" fillId="4" borderId="0" xfId="0" applyNumberFormat="1" applyFont="1" applyFill="1" applyBorder="1" applyAlignment="1" applyProtection="1">
      <alignment horizontal="left"/>
      <protection/>
    </xf>
    <xf numFmtId="49" fontId="0" fillId="4" borderId="0" xfId="0" applyNumberFormat="1" applyFill="1" applyAlignment="1" applyProtection="1">
      <alignment horizontal="right"/>
      <protection/>
    </xf>
    <xf numFmtId="0" fontId="0" fillId="4" borderId="0" xfId="0" applyFont="1" applyFill="1" applyBorder="1" applyAlignment="1" applyProtection="1">
      <alignment/>
      <protection/>
    </xf>
    <xf numFmtId="0" fontId="0" fillId="4" borderId="0" xfId="0" applyFont="1" applyFill="1" applyBorder="1" applyAlignment="1" applyProtection="1">
      <alignment horizontal="left"/>
      <protection/>
    </xf>
    <xf numFmtId="49" fontId="0" fillId="4" borderId="0" xfId="0" applyNumberFormat="1" applyFill="1" applyBorder="1" applyAlignment="1" applyProtection="1">
      <alignment horizontal="center"/>
      <protection/>
    </xf>
    <xf numFmtId="49" fontId="3" fillId="4" borderId="0" xfId="0" applyNumberFormat="1" applyFont="1" applyFill="1" applyBorder="1" applyAlignment="1" applyProtection="1">
      <alignment horizontal="center"/>
      <protection/>
    </xf>
    <xf numFmtId="0" fontId="0" fillId="4" borderId="0" xfId="0" applyFont="1" applyFill="1" applyBorder="1" applyAlignment="1" applyProtection="1">
      <alignment horizontal="center"/>
      <protection/>
    </xf>
    <xf numFmtId="0" fontId="0" fillId="4" borderId="0" xfId="0" applyFill="1" applyBorder="1" applyAlignment="1" applyProtection="1">
      <alignment horizontal="right"/>
      <protection/>
    </xf>
    <xf numFmtId="0" fontId="0" fillId="4" borderId="0" xfId="0" applyNumberFormat="1" applyFill="1" applyBorder="1" applyAlignment="1" applyProtection="1">
      <alignment horizontal="center" vertical="center"/>
      <protection/>
    </xf>
    <xf numFmtId="49" fontId="12" fillId="4" borderId="0" xfId="0" applyNumberFormat="1" applyFont="1" applyFill="1" applyAlignment="1" applyProtection="1">
      <alignment horizontal="center"/>
      <protection/>
    </xf>
    <xf numFmtId="0" fontId="2" fillId="2" borderId="10" xfId="0" applyFont="1" applyFill="1" applyBorder="1" applyAlignment="1" applyProtection="1">
      <alignment horizontal="center"/>
      <protection/>
    </xf>
    <xf numFmtId="0" fontId="2" fillId="2" borderId="1" xfId="0" applyFont="1" applyFill="1" applyBorder="1" applyAlignment="1" applyProtection="1">
      <alignment horizontal="center"/>
      <protection/>
    </xf>
    <xf numFmtId="0" fontId="2" fillId="2" borderId="1" xfId="0" applyFont="1" applyFill="1" applyBorder="1" applyAlignment="1" applyProtection="1">
      <alignment horizontal="center" wrapText="1"/>
      <protection/>
    </xf>
    <xf numFmtId="0" fontId="2" fillId="2" borderId="1" xfId="0" applyFont="1" applyFill="1" applyBorder="1" applyAlignment="1" applyProtection="1">
      <alignment horizontal="right"/>
      <protection/>
    </xf>
    <xf numFmtId="0" fontId="2" fillId="2" borderId="1" xfId="0" applyFont="1" applyFill="1" applyBorder="1" applyAlignment="1" applyProtection="1">
      <alignment wrapText="1"/>
      <protection/>
    </xf>
    <xf numFmtId="0" fontId="2" fillId="2" borderId="10" xfId="0" applyFont="1" applyFill="1" applyBorder="1" applyAlignment="1" applyProtection="1">
      <alignment/>
      <protection/>
    </xf>
    <xf numFmtId="0" fontId="2" fillId="2" borderId="1" xfId="0" applyFont="1" applyFill="1" applyBorder="1" applyAlignment="1" applyProtection="1">
      <alignment/>
      <protection/>
    </xf>
    <xf numFmtId="0" fontId="13" fillId="4" borderId="0" xfId="0" applyFont="1" applyFill="1" applyAlignment="1">
      <alignment/>
    </xf>
    <xf numFmtId="0" fontId="0" fillId="4" borderId="0" xfId="0" applyFill="1" applyAlignment="1">
      <alignment/>
    </xf>
    <xf numFmtId="0" fontId="0" fillId="4" borderId="0" xfId="0" applyFont="1" applyFill="1" applyAlignment="1">
      <alignment/>
    </xf>
    <xf numFmtId="0" fontId="0" fillId="4" borderId="0" xfId="0" applyFont="1" applyFill="1" applyAlignment="1">
      <alignment/>
    </xf>
    <xf numFmtId="0" fontId="21" fillId="4" borderId="0" xfId="0" applyFont="1" applyFill="1" applyAlignment="1">
      <alignment/>
    </xf>
    <xf numFmtId="0" fontId="23" fillId="4" borderId="0" xfId="0" applyFont="1" applyFill="1" applyAlignment="1">
      <alignment/>
    </xf>
    <xf numFmtId="0" fontId="23" fillId="4" borderId="0" xfId="0" applyFont="1" applyFill="1" applyAlignment="1">
      <alignment/>
    </xf>
    <xf numFmtId="0" fontId="21" fillId="4" borderId="0" xfId="0" applyFont="1" applyFill="1" applyAlignment="1">
      <alignment horizontal="left"/>
    </xf>
    <xf numFmtId="0" fontId="21" fillId="4" borderId="0" xfId="0" applyFont="1" applyFill="1" applyAlignment="1">
      <alignment/>
    </xf>
    <xf numFmtId="0" fontId="0" fillId="4" borderId="0" xfId="0" applyFont="1" applyFill="1" applyAlignment="1" applyProtection="1">
      <alignment/>
      <protection/>
    </xf>
    <xf numFmtId="0" fontId="0" fillId="4" borderId="0" xfId="0" applyFill="1" applyAlignment="1">
      <alignment/>
    </xf>
    <xf numFmtId="0" fontId="0" fillId="0" borderId="1" xfId="0" applyFill="1" applyBorder="1" applyAlignment="1">
      <alignment/>
    </xf>
    <xf numFmtId="0" fontId="0" fillId="0" borderId="1" xfId="0" applyFill="1" applyBorder="1" applyAlignment="1">
      <alignment/>
    </xf>
    <xf numFmtId="0" fontId="0" fillId="4" borderId="0" xfId="0" applyFont="1" applyFill="1" applyBorder="1" applyAlignment="1">
      <alignment/>
    </xf>
    <xf numFmtId="0" fontId="0" fillId="4" borderId="0" xfId="0" applyFont="1" applyFill="1" applyAlignment="1">
      <alignment horizontal="left"/>
    </xf>
    <xf numFmtId="0" fontId="0" fillId="4" borderId="0" xfId="0" applyFont="1" applyFill="1" applyBorder="1" applyAlignment="1">
      <alignment wrapText="1"/>
    </xf>
    <xf numFmtId="0" fontId="9" fillId="4" borderId="0" xfId="0" applyFont="1" applyFill="1" applyAlignment="1">
      <alignment/>
    </xf>
    <xf numFmtId="0" fontId="9" fillId="4" borderId="0" xfId="0" applyFont="1" applyFill="1" applyAlignment="1">
      <alignment horizontal="left"/>
    </xf>
    <xf numFmtId="0" fontId="2" fillId="2" borderId="1" xfId="0" applyFont="1" applyFill="1" applyBorder="1" applyAlignment="1" applyProtection="1">
      <alignment horizontal="left"/>
      <protection/>
    </xf>
    <xf numFmtId="0" fontId="0" fillId="0" borderId="1" xfId="0" applyFont="1" applyFill="1" applyBorder="1" applyAlignment="1">
      <alignment vertical="center" wrapText="1"/>
    </xf>
    <xf numFmtId="49" fontId="0" fillId="0" borderId="1" xfId="0" applyNumberFormat="1" applyFont="1" applyFill="1" applyBorder="1" applyAlignment="1">
      <alignment horizontal="left" vertical="center"/>
    </xf>
    <xf numFmtId="0" fontId="0" fillId="0" borderId="1" xfId="0" applyFont="1" applyFill="1" applyBorder="1" applyAlignment="1">
      <alignment horizontal="left" vertical="center"/>
    </xf>
    <xf numFmtId="0" fontId="0" fillId="0" borderId="1" xfId="0" applyNumberFormat="1" applyFont="1" applyFill="1" applyBorder="1" applyAlignment="1">
      <alignment horizontal="left" vertical="center"/>
    </xf>
    <xf numFmtId="0" fontId="24" fillId="4" borderId="0" xfId="0" applyFont="1" applyFill="1" applyAlignment="1" applyProtection="1">
      <alignment/>
      <protection/>
    </xf>
    <xf numFmtId="0" fontId="22" fillId="4" borderId="0" xfId="0" applyFont="1" applyFill="1" applyAlignment="1">
      <alignment/>
    </xf>
    <xf numFmtId="0" fontId="22" fillId="0" borderId="0" xfId="0" applyFont="1" applyFill="1" applyAlignment="1">
      <alignment/>
    </xf>
    <xf numFmtId="0" fontId="1" fillId="4" borderId="0" xfId="0" applyFont="1" applyFill="1" applyAlignment="1">
      <alignment/>
    </xf>
    <xf numFmtId="0" fontId="0" fillId="0" borderId="0" xfId="0" applyFill="1" applyAlignment="1">
      <alignment/>
    </xf>
    <xf numFmtId="0" fontId="22" fillId="0" borderId="0" xfId="0" applyFont="1" applyFill="1" applyAlignment="1">
      <alignment/>
    </xf>
    <xf numFmtId="0" fontId="0" fillId="4" borderId="0" xfId="0" applyFont="1" applyFill="1" applyBorder="1" applyAlignment="1" applyProtection="1">
      <alignment/>
      <protection/>
    </xf>
    <xf numFmtId="0" fontId="0" fillId="4" borderId="0" xfId="0" applyFont="1" applyFill="1" applyBorder="1" applyAlignment="1" applyProtection="1">
      <alignment wrapText="1"/>
      <protection/>
    </xf>
    <xf numFmtId="0" fontId="1" fillId="4" borderId="0" xfId="0" applyFont="1" applyFill="1" applyBorder="1" applyAlignment="1" applyProtection="1">
      <alignment/>
      <protection/>
    </xf>
    <xf numFmtId="0" fontId="2" fillId="5" borderId="10" xfId="0" applyNumberFormat="1" applyFont="1" applyFill="1" applyBorder="1" applyAlignment="1" applyProtection="1">
      <alignment horizontal="left"/>
      <protection/>
    </xf>
    <xf numFmtId="0" fontId="2" fillId="5" borderId="11" xfId="0" applyNumberFormat="1" applyFont="1" applyFill="1" applyBorder="1" applyAlignment="1" applyProtection="1">
      <alignment horizontal="left"/>
      <protection/>
    </xf>
    <xf numFmtId="0" fontId="0" fillId="5" borderId="11" xfId="0" applyFill="1" applyBorder="1" applyAlignment="1" applyProtection="1">
      <alignment horizontal="left"/>
      <protection/>
    </xf>
    <xf numFmtId="0" fontId="12" fillId="4" borderId="0" xfId="0" applyFont="1" applyFill="1" applyAlignment="1" applyProtection="1">
      <alignment horizontal="center"/>
      <protection/>
    </xf>
    <xf numFmtId="0" fontId="12" fillId="4" borderId="0" xfId="0" applyFont="1" applyFill="1" applyAlignment="1" applyProtection="1">
      <alignment horizontal="left"/>
      <protection/>
    </xf>
    <xf numFmtId="0" fontId="26" fillId="4" borderId="0" xfId="0" applyFont="1" applyFill="1" applyAlignment="1" applyProtection="1">
      <alignment horizontal="left"/>
      <protection/>
    </xf>
    <xf numFmtId="0" fontId="24" fillId="0" borderId="2" xfId="0" applyFont="1" applyFill="1" applyBorder="1" applyAlignment="1" applyProtection="1">
      <alignment/>
      <protection/>
    </xf>
    <xf numFmtId="0" fontId="0" fillId="0" borderId="12" xfId="0" applyFont="1" applyFill="1" applyBorder="1" applyAlignment="1" applyProtection="1">
      <alignment/>
      <protection/>
    </xf>
    <xf numFmtId="0" fontId="2" fillId="0" borderId="13" xfId="0" applyFont="1" applyFill="1" applyBorder="1" applyAlignment="1" applyProtection="1">
      <alignment/>
      <protection/>
    </xf>
    <xf numFmtId="0" fontId="0" fillId="0" borderId="14" xfId="0" applyFont="1" applyFill="1" applyBorder="1" applyAlignment="1" applyProtection="1">
      <alignment wrapText="1"/>
      <protection/>
    </xf>
    <xf numFmtId="0" fontId="10" fillId="0" borderId="14" xfId="0" applyFont="1" applyFill="1" applyBorder="1" applyAlignment="1" applyProtection="1">
      <alignment vertical="top"/>
      <protection/>
    </xf>
    <xf numFmtId="0" fontId="9" fillId="0" borderId="13" xfId="0" applyFont="1" applyFill="1" applyBorder="1" applyAlignment="1" applyProtection="1">
      <alignment/>
      <protection/>
    </xf>
    <xf numFmtId="0" fontId="2" fillId="0" borderId="13" xfId="0" applyFont="1" applyFill="1" applyBorder="1" applyAlignment="1" applyProtection="1">
      <alignment vertical="top"/>
      <protection/>
    </xf>
    <xf numFmtId="0" fontId="0" fillId="0" borderId="14" xfId="0" applyFont="1" applyFill="1" applyBorder="1" applyAlignment="1" applyProtection="1">
      <alignment vertical="top" wrapText="1"/>
      <protection/>
    </xf>
    <xf numFmtId="0" fontId="0" fillId="0" borderId="13" xfId="0" applyFont="1" applyFill="1" applyBorder="1" applyAlignment="1" applyProtection="1">
      <alignment/>
      <protection/>
    </xf>
    <xf numFmtId="0" fontId="9" fillId="0" borderId="13" xfId="0" applyFont="1" applyFill="1" applyBorder="1" applyAlignment="1" applyProtection="1">
      <alignment horizontal="right" vertical="top"/>
      <protection/>
    </xf>
    <xf numFmtId="0" fontId="0" fillId="0" borderId="4" xfId="0" applyFont="1" applyFill="1" applyBorder="1" applyAlignment="1" applyProtection="1">
      <alignment/>
      <protection/>
    </xf>
    <xf numFmtId="0" fontId="0" fillId="0" borderId="15" xfId="0" applyFont="1" applyFill="1" applyBorder="1" applyAlignment="1" applyProtection="1">
      <alignment wrapText="1"/>
      <protection/>
    </xf>
    <xf numFmtId="0" fontId="0" fillId="0" borderId="1" xfId="0" applyBorder="1" applyAlignment="1" applyProtection="1">
      <alignment horizontal="center"/>
      <protection locked="0"/>
    </xf>
    <xf numFmtId="0" fontId="0" fillId="0" borderId="7" xfId="0" applyBorder="1" applyAlignment="1" applyProtection="1">
      <alignment horizontal="center"/>
      <protection locked="0"/>
    </xf>
    <xf numFmtId="0" fontId="0" fillId="0" borderId="5" xfId="0" applyBorder="1" applyAlignment="1" applyProtection="1">
      <alignment horizontal="center"/>
      <protection locked="0"/>
    </xf>
    <xf numFmtId="0" fontId="2" fillId="0" borderId="8" xfId="0" applyNumberFormat="1" applyFont="1" applyFill="1" applyBorder="1" applyAlignment="1" applyProtection="1">
      <alignment/>
      <protection/>
    </xf>
    <xf numFmtId="0" fontId="0" fillId="0" borderId="8" xfId="0" applyBorder="1" applyAlignment="1" applyProtection="1">
      <alignment/>
      <protection/>
    </xf>
    <xf numFmtId="0" fontId="22" fillId="4" borderId="0" xfId="0" applyFont="1" applyFill="1" applyAlignment="1">
      <alignment/>
    </xf>
    <xf numFmtId="14" fontId="0" fillId="4" borderId="0" xfId="0" applyNumberFormat="1" applyFill="1" applyAlignment="1">
      <alignment/>
    </xf>
    <xf numFmtId="49" fontId="29" fillId="0" borderId="0" xfId="0" applyNumberFormat="1" applyFont="1" applyAlignment="1">
      <alignment vertical="top"/>
    </xf>
    <xf numFmtId="14" fontId="28" fillId="0" borderId="0" xfId="0" applyNumberFormat="1" applyFont="1" applyAlignment="1">
      <alignment vertical="top"/>
    </xf>
    <xf numFmtId="14" fontId="30" fillId="0" borderId="16" xfId="0" applyNumberFormat="1" applyFont="1" applyBorder="1" applyAlignment="1">
      <alignment horizontal="left" vertical="top"/>
    </xf>
    <xf numFmtId="49" fontId="1" fillId="0" borderId="16" xfId="0" applyNumberFormat="1" applyFont="1" applyBorder="1" applyAlignment="1">
      <alignment vertical="top"/>
    </xf>
    <xf numFmtId="0" fontId="1" fillId="0" borderId="16" xfId="0" applyFont="1" applyBorder="1" applyAlignment="1">
      <alignment vertical="top" wrapText="1"/>
    </xf>
    <xf numFmtId="0" fontId="22" fillId="6" borderId="0" xfId="0" applyFont="1" applyFill="1" applyAlignment="1">
      <alignment/>
    </xf>
    <xf numFmtId="14" fontId="1" fillId="0" borderId="0" xfId="0" applyNumberFormat="1" applyFont="1" applyAlignment="1">
      <alignment horizontal="left" vertical="top"/>
    </xf>
    <xf numFmtId="49" fontId="1" fillId="0" borderId="0" xfId="0" applyNumberFormat="1" applyFont="1" applyAlignment="1">
      <alignment vertical="top"/>
    </xf>
    <xf numFmtId="0" fontId="1" fillId="0" borderId="0" xfId="0" applyFont="1" applyAlignment="1">
      <alignment vertical="top" wrapText="1"/>
    </xf>
    <xf numFmtId="49" fontId="0" fillId="4" borderId="0" xfId="0" applyNumberFormat="1" applyFill="1" applyAlignment="1" applyProtection="1">
      <alignment horizontal="left"/>
      <protection/>
    </xf>
    <xf numFmtId="0" fontId="2" fillId="0" borderId="3" xfId="0" applyNumberFormat="1" applyFont="1" applyFill="1" applyBorder="1" applyAlignment="1" applyProtection="1">
      <alignment horizontal="left"/>
      <protection locked="0"/>
    </xf>
    <xf numFmtId="0" fontId="33" fillId="4" borderId="0" xfId="0" applyFont="1" applyFill="1" applyAlignment="1" applyProtection="1">
      <alignment/>
      <protection/>
    </xf>
    <xf numFmtId="0" fontId="2" fillId="0" borderId="5" xfId="0" applyFont="1" applyBorder="1" applyAlignment="1" applyProtection="1">
      <alignment/>
      <protection/>
    </xf>
    <xf numFmtId="49" fontId="0" fillId="0" borderId="15" xfId="0" applyNumberFormat="1" applyBorder="1" applyAlignment="1" applyProtection="1">
      <alignment horizontal="left"/>
      <protection/>
    </xf>
    <xf numFmtId="0" fontId="2" fillId="0" borderId="7" xfId="0" applyFont="1" applyBorder="1" applyAlignment="1" applyProtection="1">
      <alignment/>
      <protection/>
    </xf>
    <xf numFmtId="0" fontId="2" fillId="0" borderId="6" xfId="0" applyNumberFormat="1" applyFont="1" applyFill="1" applyBorder="1" applyAlignment="1" applyProtection="1">
      <alignment horizontal="left"/>
      <protection locked="0"/>
    </xf>
    <xf numFmtId="0" fontId="0" fillId="0" borderId="17" xfId="0" applyBorder="1" applyAlignment="1" applyProtection="1">
      <alignment/>
      <protection/>
    </xf>
    <xf numFmtId="0" fontId="0" fillId="0" borderId="7" xfId="0" applyBorder="1" applyAlignment="1" applyProtection="1">
      <alignment horizontal="left"/>
      <protection/>
    </xf>
    <xf numFmtId="0" fontId="3" fillId="3" borderId="8" xfId="0" applyNumberFormat="1" applyFont="1" applyFill="1" applyBorder="1" applyAlignment="1" applyProtection="1">
      <alignment horizontal="left"/>
      <protection locked="0"/>
    </xf>
    <xf numFmtId="0" fontId="2" fillId="4" borderId="0" xfId="0" applyNumberFormat="1" applyFont="1" applyFill="1" applyAlignment="1" applyProtection="1">
      <alignment/>
      <protection/>
    </xf>
    <xf numFmtId="49" fontId="3" fillId="3" borderId="3" xfId="0" applyNumberFormat="1" applyFont="1" applyFill="1" applyBorder="1" applyAlignment="1" applyProtection="1">
      <alignment horizontal="left"/>
      <protection locked="0"/>
    </xf>
    <xf numFmtId="49" fontId="2" fillId="3" borderId="4" xfId="0" applyNumberFormat="1" applyFont="1" applyFill="1" applyBorder="1" applyAlignment="1" applyProtection="1">
      <alignment horizontal="left"/>
      <protection locked="0"/>
    </xf>
    <xf numFmtId="49" fontId="2" fillId="0" borderId="3" xfId="0" applyNumberFormat="1" applyFont="1" applyFill="1" applyBorder="1" applyAlignment="1" applyProtection="1">
      <alignment horizontal="left"/>
      <protection/>
    </xf>
    <xf numFmtId="49" fontId="2" fillId="0" borderId="3" xfId="0" applyNumberFormat="1" applyFont="1" applyFill="1" applyBorder="1" applyAlignment="1" applyProtection="1">
      <alignment/>
      <protection locked="0"/>
    </xf>
    <xf numFmtId="49" fontId="2" fillId="0" borderId="8" xfId="0" applyNumberFormat="1" applyFont="1" applyFill="1" applyBorder="1" applyAlignment="1" applyProtection="1">
      <alignment/>
      <protection/>
    </xf>
    <xf numFmtId="49" fontId="0" fillId="0" borderId="8" xfId="0" applyNumberFormat="1" applyBorder="1" applyAlignment="1" applyProtection="1">
      <alignment/>
      <protection/>
    </xf>
    <xf numFmtId="0" fontId="9" fillId="4" borderId="0" xfId="0" applyFont="1" applyFill="1" applyAlignment="1" applyProtection="1">
      <alignment/>
      <protection/>
    </xf>
    <xf numFmtId="0" fontId="25" fillId="4" borderId="0" xfId="0" applyFont="1" applyFill="1" applyAlignment="1" applyProtection="1">
      <alignment horizontal="center"/>
      <protection/>
    </xf>
    <xf numFmtId="0" fontId="3" fillId="5" borderId="10" xfId="0" applyNumberFormat="1" applyFont="1" applyFill="1" applyBorder="1" applyAlignment="1" applyProtection="1">
      <alignment horizontal="left"/>
      <protection/>
    </xf>
    <xf numFmtId="0" fontId="0" fillId="0" borderId="0" xfId="0" applyFont="1" applyAlignment="1">
      <alignment/>
    </xf>
    <xf numFmtId="0" fontId="37" fillId="0" borderId="0" xfId="0" applyFont="1" applyAlignment="1">
      <alignment horizontal="left"/>
    </xf>
    <xf numFmtId="172" fontId="0" fillId="0" borderId="1" xfId="0" applyNumberFormat="1" applyFont="1" applyFill="1" applyBorder="1" applyAlignment="1">
      <alignment horizontal="left" vertical="center"/>
    </xf>
    <xf numFmtId="173" fontId="0" fillId="0" borderId="8" xfId="0" applyNumberFormat="1" applyBorder="1" applyAlignment="1" applyProtection="1">
      <alignment horizontal="left"/>
      <protection/>
    </xf>
    <xf numFmtId="173" fontId="3" fillId="3" borderId="6" xfId="0" applyNumberFormat="1" applyFont="1" applyFill="1" applyBorder="1" applyAlignment="1" applyProtection="1">
      <alignment horizontal="left"/>
      <protection locked="0"/>
    </xf>
    <xf numFmtId="0" fontId="10" fillId="0" borderId="13" xfId="0" applyFont="1" applyFill="1" applyBorder="1" applyAlignment="1" applyProtection="1">
      <alignment vertical="top" wrapText="1"/>
      <protection/>
    </xf>
    <xf numFmtId="0" fontId="10" fillId="0" borderId="14" xfId="0" applyFont="1" applyFill="1" applyBorder="1" applyAlignment="1" applyProtection="1">
      <alignment vertical="top"/>
      <protection/>
    </xf>
    <xf numFmtId="0" fontId="10" fillId="0" borderId="14" xfId="0" applyFont="1" applyFill="1" applyBorder="1" applyAlignment="1" applyProtection="1">
      <alignment vertical="top" wrapText="1"/>
      <protection/>
    </xf>
    <xf numFmtId="0" fontId="28" fillId="0" borderId="13" xfId="0" applyFont="1" applyFill="1" applyBorder="1" applyAlignment="1" applyProtection="1">
      <alignment vertical="top" wrapText="1"/>
      <protection/>
    </xf>
    <xf numFmtId="0" fontId="28" fillId="0" borderId="14" xfId="0" applyFont="1" applyFill="1" applyBorder="1" applyAlignment="1" applyProtection="1">
      <alignment vertical="top" wrapText="1"/>
      <protection/>
    </xf>
    <xf numFmtId="0" fontId="2" fillId="2" borderId="3" xfId="0" applyFont="1" applyFill="1" applyBorder="1" applyAlignment="1" applyProtection="1">
      <alignment horizontal="center"/>
      <protection/>
    </xf>
    <xf numFmtId="0" fontId="2" fillId="2" borderId="8" xfId="0" applyFont="1" applyFill="1" applyBorder="1" applyAlignment="1" applyProtection="1">
      <alignment horizontal="center"/>
      <protection/>
    </xf>
    <xf numFmtId="0" fontId="0" fillId="0" borderId="3" xfId="0" applyFont="1" applyBorder="1" applyAlignment="1" applyProtection="1">
      <alignment horizontal="center"/>
      <protection/>
    </xf>
    <xf numFmtId="0" fontId="0" fillId="0" borderId="8" xfId="0" applyFont="1" applyBorder="1" applyAlignment="1" applyProtection="1">
      <alignment horizontal="center"/>
      <protection/>
    </xf>
    <xf numFmtId="0" fontId="0" fillId="0" borderId="6"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4" xfId="0" applyFont="1" applyBorder="1" applyAlignment="1" applyProtection="1">
      <alignment horizontal="center"/>
      <protection/>
    </xf>
    <xf numFmtId="0" fontId="0" fillId="0" borderId="15" xfId="0" applyFont="1" applyBorder="1" applyAlignment="1" applyProtection="1">
      <alignment horizontal="center"/>
      <protection/>
    </xf>
    <xf numFmtId="0" fontId="2" fillId="2" borderId="2" xfId="0" applyFont="1" applyFill="1" applyBorder="1" applyAlignment="1" applyProtection="1">
      <alignment horizontal="center"/>
      <protection/>
    </xf>
    <xf numFmtId="0" fontId="2" fillId="2" borderId="12" xfId="0" applyFont="1" applyFill="1" applyBorder="1" applyAlignment="1" applyProtection="1">
      <alignment horizontal="center"/>
      <protection/>
    </xf>
    <xf numFmtId="0" fontId="2" fillId="2" borderId="4" xfId="0" applyFont="1" applyFill="1" applyBorder="1" applyAlignment="1" applyProtection="1">
      <alignment horizontal="center"/>
      <protection/>
    </xf>
    <xf numFmtId="0" fontId="2" fillId="2" borderId="15" xfId="0" applyFont="1" applyFill="1" applyBorder="1" applyAlignment="1" applyProtection="1">
      <alignment horizontal="center"/>
      <protection/>
    </xf>
    <xf numFmtId="0" fontId="2" fillId="2" borderId="10" xfId="0" applyFont="1" applyFill="1" applyBorder="1" applyAlignment="1" applyProtection="1">
      <alignment horizontal="center" wrapText="1"/>
      <protection/>
    </xf>
    <xf numFmtId="0" fontId="2" fillId="2" borderId="5" xfId="0" applyFont="1" applyFill="1" applyBorder="1" applyAlignment="1" applyProtection="1">
      <alignment horizontal="center" wrapText="1"/>
      <protection/>
    </xf>
    <xf numFmtId="0" fontId="0" fillId="0" borderId="10" xfId="0" applyBorder="1" applyAlignment="1" applyProtection="1">
      <alignment horizontal="center" vertical="center"/>
      <protection/>
    </xf>
    <xf numFmtId="0" fontId="0" fillId="0" borderId="5" xfId="0" applyBorder="1" applyAlignment="1" applyProtection="1">
      <alignment horizontal="center" vertical="center"/>
      <protection/>
    </xf>
    <xf numFmtId="0" fontId="2" fillId="2" borderId="10" xfId="0" applyFont="1" applyFill="1" applyBorder="1" applyAlignment="1" applyProtection="1">
      <alignment horizontal="center"/>
      <protection/>
    </xf>
    <xf numFmtId="0" fontId="2" fillId="2" borderId="5" xfId="0" applyFont="1" applyFill="1" applyBorder="1" applyAlignment="1" applyProtection="1">
      <alignment horizontal="center"/>
      <protection/>
    </xf>
    <xf numFmtId="0" fontId="2" fillId="2" borderId="10" xfId="0" applyFont="1" applyFill="1" applyBorder="1" applyAlignment="1" applyProtection="1">
      <alignment horizontal="left"/>
      <protection/>
    </xf>
    <xf numFmtId="0" fontId="2" fillId="2" borderId="5" xfId="0" applyFont="1" applyFill="1" applyBorder="1" applyAlignment="1" applyProtection="1">
      <alignment horizontal="left"/>
      <protection/>
    </xf>
    <xf numFmtId="0" fontId="2" fillId="2" borderId="10" xfId="0" applyFont="1" applyFill="1" applyBorder="1" applyAlignment="1" applyProtection="1">
      <alignment/>
      <protection/>
    </xf>
    <xf numFmtId="0" fontId="2" fillId="2" borderId="5" xfId="0" applyFont="1" applyFill="1" applyBorder="1" applyAlignment="1" applyProtection="1">
      <alignment/>
      <protection/>
    </xf>
    <xf numFmtId="0" fontId="0" fillId="0" borderId="8" xfId="0" applyBorder="1" applyAlignment="1" applyProtection="1">
      <alignment/>
      <protection/>
    </xf>
    <xf numFmtId="170" fontId="2" fillId="3" borderId="3" xfId="0" applyNumberFormat="1" applyFont="1" applyFill="1" applyBorder="1" applyAlignment="1" applyProtection="1">
      <alignment horizontal="left"/>
      <protection locked="0"/>
    </xf>
    <xf numFmtId="170" fontId="2" fillId="3" borderId="8" xfId="0" applyNumberFormat="1" applyFont="1" applyFill="1" applyBorder="1" applyAlignment="1" applyProtection="1">
      <alignment horizontal="left"/>
      <protection locked="0"/>
    </xf>
    <xf numFmtId="49" fontId="2" fillId="3" borderId="3" xfId="0" applyNumberFormat="1" applyFont="1" applyFill="1" applyBorder="1" applyAlignment="1" applyProtection="1">
      <alignment/>
      <protection locked="0"/>
    </xf>
    <xf numFmtId="49" fontId="2" fillId="3" borderId="8" xfId="0" applyNumberFormat="1" applyFont="1" applyFill="1" applyBorder="1" applyAlignment="1" applyProtection="1">
      <alignment/>
      <protection locked="0"/>
    </xf>
    <xf numFmtId="0" fontId="0" fillId="0" borderId="10" xfId="0" applyNumberFormat="1" applyBorder="1" applyAlignment="1" applyProtection="1">
      <alignment horizontal="center" vertical="center"/>
      <protection/>
    </xf>
    <xf numFmtId="0" fontId="0" fillId="0" borderId="11" xfId="0" applyNumberFormat="1" applyBorder="1" applyAlignment="1" applyProtection="1">
      <alignment horizontal="center" vertical="center"/>
      <protection/>
    </xf>
    <xf numFmtId="0" fontId="0" fillId="0" borderId="5" xfId="0" applyNumberFormat="1" applyBorder="1" applyAlignment="1" applyProtection="1">
      <alignment horizontal="center" vertical="center"/>
      <protection/>
    </xf>
    <xf numFmtId="49" fontId="3" fillId="7" borderId="10" xfId="0" applyNumberFormat="1" applyFont="1" applyFill="1" applyBorder="1" applyAlignment="1" applyProtection="1">
      <alignment horizontal="center" wrapText="1"/>
      <protection/>
    </xf>
    <xf numFmtId="0" fontId="0" fillId="0" borderId="11" xfId="0" applyBorder="1" applyAlignment="1">
      <alignment/>
    </xf>
    <xf numFmtId="0" fontId="0" fillId="0" borderId="5" xfId="0" applyBorder="1" applyAlignment="1">
      <alignment/>
    </xf>
    <xf numFmtId="0" fontId="0" fillId="0" borderId="10" xfId="0" applyFill="1" applyBorder="1" applyAlignment="1">
      <alignment horizontal="left" vertical="center"/>
    </xf>
    <xf numFmtId="0" fontId="0" fillId="0" borderId="5" xfId="0" applyFill="1" applyBorder="1" applyAlignment="1">
      <alignment horizontal="left" vertical="center"/>
    </xf>
    <xf numFmtId="0" fontId="0" fillId="0" borderId="11" xfId="0" applyFill="1" applyBorder="1" applyAlignment="1">
      <alignment horizontal="left" vertical="center"/>
    </xf>
    <xf numFmtId="49" fontId="0" fillId="0" borderId="10" xfId="0" applyNumberFormat="1" applyFill="1" applyBorder="1" applyAlignment="1">
      <alignment horizontal="left" vertical="center"/>
    </xf>
    <xf numFmtId="14" fontId="29" fillId="0" borderId="0" xfId="0" applyNumberFormat="1" applyFont="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D15"/>
  <sheetViews>
    <sheetView showGridLines="0" workbookViewId="0" topLeftCell="A5">
      <selection activeCell="A1" sqref="A1"/>
    </sheetView>
  </sheetViews>
  <sheetFormatPr defaultColWidth="9.140625" defaultRowHeight="12.75"/>
  <cols>
    <col min="1" max="1" width="1.57421875" style="99" customWidth="1"/>
    <col min="2" max="2" width="5.7109375" style="97" customWidth="1"/>
    <col min="3" max="3" width="93.28125" style="98" customWidth="1"/>
    <col min="4" max="4" width="1.57421875" style="40" customWidth="1"/>
    <col min="5" max="16384" width="0" style="99" hidden="1" customWidth="1"/>
  </cols>
  <sheetData>
    <row r="1" ht="7.5" customHeight="1"/>
    <row r="2" spans="2:4" ht="20.25">
      <c r="B2" s="106" t="s">
        <v>559</v>
      </c>
      <c r="C2" s="107"/>
      <c r="D2" s="99"/>
    </row>
    <row r="3" spans="2:4" ht="21" customHeight="1">
      <c r="B3" s="108"/>
      <c r="C3" s="109"/>
      <c r="D3" s="45"/>
    </row>
    <row r="4" spans="2:4" ht="33" customHeight="1">
      <c r="B4" s="159" t="s">
        <v>608</v>
      </c>
      <c r="C4" s="160"/>
      <c r="D4" s="45"/>
    </row>
    <row r="5" spans="2:4" ht="47.25" customHeight="1">
      <c r="B5" s="159" t="s">
        <v>586</v>
      </c>
      <c r="C5" s="161"/>
      <c r="D5" s="45"/>
    </row>
    <row r="6" spans="2:4" ht="47.25" customHeight="1">
      <c r="B6" s="162" t="str">
        <f>CONCATENATE("PLEASE NOTE:  This version of the NIDS Generator was created to match BTS10200 release ",'Update History'!D2,".  As such, the generated files (especially opticall.cfg) may differ if you are using this generator for a different release.  Please verifiy the file entries match the originals in your release.")</f>
        <v>PLEASE NOTE:  This version of the NIDS Generator was created to match BTS10200 release Rev 1.  As such, the generated files (especially opticall.cfg) may differ if you are using this generator for a different release.  Please verifiy the file entries match the originals in your release.</v>
      </c>
      <c r="C6" s="163"/>
      <c r="D6" s="45"/>
    </row>
    <row r="7" spans="2:4" ht="18.75" customHeight="1">
      <c r="B7" s="111" t="s">
        <v>204</v>
      </c>
      <c r="C7" s="110"/>
      <c r="D7" s="45"/>
    </row>
    <row r="8" spans="2:4" ht="42" customHeight="1">
      <c r="B8" s="112">
        <v>1</v>
      </c>
      <c r="C8" s="113" t="s">
        <v>581</v>
      </c>
      <c r="D8" s="45"/>
    </row>
    <row r="9" spans="2:4" ht="42.75" customHeight="1">
      <c r="B9" s="112">
        <f>B8+1</f>
        <v>2</v>
      </c>
      <c r="C9" s="113" t="s">
        <v>190</v>
      </c>
      <c r="D9" s="53"/>
    </row>
    <row r="10" spans="2:3" ht="30" customHeight="1">
      <c r="B10" s="112">
        <f>B9+1</f>
        <v>3</v>
      </c>
      <c r="C10" s="113" t="s">
        <v>566</v>
      </c>
    </row>
    <row r="11" spans="2:3" ht="30" customHeight="1">
      <c r="B11" s="112">
        <f>B10+1</f>
        <v>4</v>
      </c>
      <c r="C11" s="113" t="s">
        <v>621</v>
      </c>
    </row>
    <row r="12" spans="2:3" ht="30" customHeight="1">
      <c r="B12" s="112">
        <f>B11+1</f>
        <v>5</v>
      </c>
      <c r="C12" s="113" t="s">
        <v>624</v>
      </c>
    </row>
    <row r="13" spans="2:4" ht="12.75">
      <c r="B13" s="114"/>
      <c r="C13" s="109"/>
      <c r="D13" s="45"/>
    </row>
    <row r="14" spans="2:4" ht="25.5">
      <c r="B14" s="115" t="s">
        <v>191</v>
      </c>
      <c r="C14" s="113" t="s">
        <v>192</v>
      </c>
      <c r="D14" s="45"/>
    </row>
    <row r="15" spans="2:3" ht="12.75">
      <c r="B15" s="116"/>
      <c r="C15" s="117"/>
    </row>
  </sheetData>
  <sheetProtection sheet="1" objects="1" scenarios="1"/>
  <mergeCells count="3">
    <mergeCell ref="B4:C4"/>
    <mergeCell ref="B5:C5"/>
    <mergeCell ref="B6:C6"/>
  </mergeCells>
  <printOptions/>
  <pageMargins left="0.32" right="0.29" top="1" bottom="1" header="0.5" footer="0.5"/>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163"/>
  <sheetViews>
    <sheetView showGridLines="0" workbookViewId="0" topLeftCell="A52">
      <selection activeCell="A61" sqref="A61"/>
    </sheetView>
  </sheetViews>
  <sheetFormatPr defaultColWidth="9.140625" defaultRowHeight="12.75"/>
  <cols>
    <col min="1" max="1" width="100.140625" style="123" bestFit="1" customWidth="1"/>
    <col min="2" max="16384" width="0" style="69" hidden="1" customWidth="1"/>
  </cols>
  <sheetData>
    <row r="1" ht="13.5">
      <c r="A1" s="96" t="s">
        <v>199</v>
      </c>
    </row>
    <row r="2" ht="13.5">
      <c r="A2" s="96" t="s">
        <v>198</v>
      </c>
    </row>
    <row r="3" ht="13.5">
      <c r="A3" s="96" t="str">
        <f>CONCATENATE(";## Reverse DNS BIND file entries for BTS Installation:  ",'NIDS Data Entry + Netwk tables'!C11)</f>
        <v>;## Reverse DNS BIND file entries for BTS Installation:  MAIN-ST</v>
      </c>
    </row>
    <row r="4" ht="13.5">
      <c r="A4" s="96" t="s">
        <v>198</v>
      </c>
    </row>
    <row r="5" ht="13.5">
      <c r="A5" s="96" t="s">
        <v>199</v>
      </c>
    </row>
    <row r="6" ht="13.5">
      <c r="A6" s="96"/>
    </row>
    <row r="7" ht="13.5">
      <c r="A7" s="93" t="s">
        <v>623</v>
      </c>
    </row>
    <row r="8" ht="13.5">
      <c r="A8" s="93" t="str">
        <f>CONCATENATE("@       IN      SOA     ",'NIDS Data Entry + Netwk tables'!$C$14,".",'NIDS Data Entry + Netwk tables'!$C$30,".   support.",'NIDS Data Entry + Netwk tables'!$C$30,".  (")</f>
        <v>@       IN      SOA     ns1.name.cisco.com.   support.name.cisco.com.  (</v>
      </c>
    </row>
    <row r="9" ht="13.5">
      <c r="A9" s="93" t="str">
        <f ca="1">CONCATENATE("                                ",YEAR(TODAY()),IF(LEN(MONTH(TODAY()))=1,"0",""),MONTH(TODAY()),IF(LEN(DAY(TODAY()))=1,"0",""),DAY(TODAY()),"01       ; Serial number")</f>
        <v>                                2007080101       ; Serial number</v>
      </c>
    </row>
    <row r="10" ht="13.5">
      <c r="A10" s="93" t="s">
        <v>200</v>
      </c>
    </row>
    <row r="11" ht="13.5">
      <c r="A11" s="93" t="s">
        <v>201</v>
      </c>
    </row>
    <row r="12" ht="13.5">
      <c r="A12" s="93" t="s">
        <v>202</v>
      </c>
    </row>
    <row r="13" ht="13.5">
      <c r="A13" s="93" t="s">
        <v>203</v>
      </c>
    </row>
    <row r="14" ht="13.5">
      <c r="A14" s="93" t="str">
        <f>CONCATENATE("        IN      NS      ",'NIDS Data Entry + Netwk tables'!$C$14,".",'NIDS Data Entry + Netwk tables'!$C$30,".")</f>
        <v>        IN      NS      ns1.name.cisco.com.</v>
      </c>
    </row>
    <row r="15" ht="13.5">
      <c r="A15" s="93" t="str">
        <f>CONCATENATE("        IN      NS      ",'NIDS Data Entry + Netwk tables'!$C$16,".",'NIDS Data Entry + Netwk tables'!$C$30,".")</f>
        <v>        IN      NS      ns2.name.cisco.com.</v>
      </c>
    </row>
    <row r="16" ht="13.5">
      <c r="A16" s="93"/>
    </row>
    <row r="17" ht="13.5">
      <c r="A17" s="93" t="str">
        <f>CONCATENATE('NIDS Data Entry + Netwk tables'!$C$14,"      IN    A    ",'NIDS Data Entry + Netwk tables'!$C$15,".")</f>
        <v>ns1      IN    A    10.89.123.1.</v>
      </c>
    </row>
    <row r="18" ht="13.5">
      <c r="A18" s="93" t="str">
        <f>CONCATENATE('NIDS Data Entry + Netwk tables'!$C$16,"      IN    A    ",'NIDS Data Entry + Netwk tables'!$C$17,".")</f>
        <v>ns2      IN    A    10.89.124.1.</v>
      </c>
    </row>
    <row r="19" ht="13.5">
      <c r="A19" s="96"/>
    </row>
    <row r="20" ht="13.5">
      <c r="A20" s="93"/>
    </row>
    <row r="21" ht="13.5">
      <c r="A21" s="93" t="str">
        <f>CONCATENATE("$ORIGIN ",MID('NIDS DNS table'!$C$98,FIND(".",'NIDS DNS table'!$C$98,FIND(".",'NIDS DNS table'!$C$98)+1)+1,FIND(".",'NIDS DNS table'!$C$98,FIND(".",'NIDS DNS table'!$C$98,FIND(".",'NIDS DNS table'!$C$98)+1)+1)-FIND(".",'NIDS DNS table'!$C$98,FIND(".",'NIDS DNS table'!$C$98)+1)),MID('NIDS DNS table'!$C$98,FIND(".",'NIDS DNS table'!$C$98)+1,FIND(".",'NIDS DNS table'!$C$98,FIND(".",'NIDS DNS table'!$C$98)+1)-FIND(".",'NIDS DNS table'!$C$98)),LEFT('NIDS DNS table'!$C$98,FIND(".",'NIDS DNS table'!$C$98)),"in-addr.arpa.")</f>
        <v>$ORIGIN 223.89.10.in-addr.arpa.</v>
      </c>
    </row>
    <row r="22" ht="13.5">
      <c r="A22" s="93" t="str">
        <f>CONCATENATE(RIGHT('NIDS DNS table'!$C$98,LEN('NIDS DNS table'!$C$98)-FIND(".",'NIDS DNS table'!$C$98,FIND(".",'NIDS DNS table'!$C$98,FIND(".",'NIDS DNS table'!$C$98)+1)+1)),REPT(" ",15),"IN      PTR     ",'NIDS DNS table'!$B$98,".")</f>
        <v>10               IN      PTR     crit-aMAIN-STEMS.name.cisco.com.</v>
      </c>
    </row>
    <row r="23" ht="13.5">
      <c r="A23" s="93" t="str">
        <f>CONCATENATE(RIGHT('NIDS DNS table'!$C$8,LEN('NIDS DNS table'!$C$8)-FIND(".",'NIDS DNS table'!$C$8,FIND(".",'NIDS DNS table'!$C$8,FIND(".",'NIDS DNS table'!$C$8)+1)+1)),REPT(" ",15),"IN      PTR     ",'NIDS DNS table'!$B$8,".")</f>
        <v>10               IN      PTR     priems.name.cisco.com.</v>
      </c>
    </row>
    <row r="24" ht="13.5">
      <c r="A24" s="93" t="str">
        <f>CONCATENATE(RIGHT('NIDS DNS table'!$C$100,LEN('NIDS DNS table'!$C$100)-FIND(".",'NIDS DNS table'!$C$100,FIND(".",'NIDS DNS table'!$C$100,FIND(".",'NIDS DNS table'!$C$100)+1)+1)),REPT(" ",15),"IN      PTR     ",'NIDS DNS table'!$B$100,".")</f>
        <v>11               IN      PTR     crit-bMAIN-STEMS.name.cisco.com.</v>
      </c>
    </row>
    <row r="25" ht="13.5">
      <c r="A25" s="93" t="str">
        <f>CONCATENATE(RIGHT('NIDS DNS table'!$C$10,LEN('NIDS DNS table'!$C$10)-FIND(".",'NIDS DNS table'!$C$10,FIND(".",'NIDS DNS table'!$C$10,FIND(".",'NIDS DNS table'!$C$10)+1)+1)),REPT(" ",15),"IN      PTR     ",'NIDS DNS table'!$B$10,".")</f>
        <v>11               IN      PTR     secems.name.cisco.com.</v>
      </c>
    </row>
    <row r="26" ht="13.5">
      <c r="A26" s="93" t="str">
        <f>CONCATENATE(RIGHT('NIDS DNS table'!$C$12,LEN('NIDS DNS table'!$C$12)-FIND(".",'NIDS DNS table'!$C$12,FIND(".",'NIDS DNS table'!$C$12,FIND(".",'NIDS DNS table'!$C$12)+1)+1)),REPT(" ",15),"IN      PTR     ",'NIDS DNS table'!$B$12,".")</f>
        <v>12               IN      PTR     prica.name.cisco.com.</v>
      </c>
    </row>
    <row r="27" ht="13.5">
      <c r="A27" s="93" t="str">
        <f>CONCATENATE(RIGHT('NIDS DNS table'!$C$14,LEN('NIDS DNS table'!$C$14)-FIND(".",'NIDS DNS table'!$C$14,FIND(".",'NIDS DNS table'!$C$14,FIND(".",'NIDS DNS table'!$C$14)+1)+1)),REPT(" ",15),"IN      PTR     ",'NIDS DNS table'!$B$14,".")</f>
        <v>13               IN      PTR     secca.name.cisco.com.</v>
      </c>
    </row>
    <row r="28" ht="13.5">
      <c r="A28" s="93" t="str">
        <f>CONCATENATE(RIGHT('NIDS DNS table'!$C$18,LEN('NIDS DNS table'!$C$18)-FIND(".",'NIDS DNS table'!$C$18,FIND(".",'NIDS DNS table'!$C$18,FIND(".",'NIDS DNS table'!$C$18)+1)+1)),REPT(" ",15),"IN      PTR     ",'NIDS DNS table'!$B$18,".")</f>
        <v>254               IN      PTR     brokerems-MAIN-ST.name.cisco.com.</v>
      </c>
    </row>
    <row r="29" ht="13.5">
      <c r="A29" s="93"/>
    </row>
    <row r="30" ht="13.5">
      <c r="A30" s="93" t="str">
        <f>CONCATENATE("$ORIGIN ",MID('NIDS DNS table'!$C$99,FIND(".",'NIDS DNS table'!$C$99,FIND(".",'NIDS DNS table'!$C$99)+1)+1,FIND(".",'NIDS DNS table'!$C$99,FIND(".",'NIDS DNS table'!$C$99,FIND(".",'NIDS DNS table'!$C$99)+1)+1)-FIND(".",'NIDS DNS table'!$C$99,FIND(".",'NIDS DNS table'!$C$99)+1)),MID('NIDS DNS table'!$C$99,FIND(".",'NIDS DNS table'!$C$99)+1,FIND(".",'NIDS DNS table'!$C$99,FIND(".",'NIDS DNS table'!$C$99)+1)-FIND(".",'NIDS DNS table'!$C$99)),LEFT('NIDS DNS table'!$C$99,FIND(".",'NIDS DNS table'!$C$99)),"in-addr.arpa.")</f>
        <v>$ORIGIN 224.89.10.in-addr.arpa.</v>
      </c>
    </row>
    <row r="31" ht="13.5">
      <c r="A31" s="93" t="str">
        <f>CONCATENATE(RIGHT('NIDS DNS table'!$C$99,LEN('NIDS DNS table'!$C$99)-FIND(".",'NIDS DNS table'!$C$99,FIND(".",'NIDS DNS table'!$C$99,FIND(".",'NIDS DNS table'!$C$99)+1)+1)),REPT(" ",15),"IN      PTR     ",'NIDS DNS table'!$B$98,".")</f>
        <v>10               IN      PTR     crit-aMAIN-STEMS.name.cisco.com.</v>
      </c>
    </row>
    <row r="32" ht="13.5">
      <c r="A32" s="93" t="str">
        <f>CONCATENATE(RIGHT('NIDS DNS table'!$C$9,LEN('NIDS DNS table'!$C$9)-FIND(".",'NIDS DNS table'!$C$9,FIND(".",'NIDS DNS table'!$C$9,FIND(".",'NIDS DNS table'!$C$9)+1)+1)),REPT(" ",15),"IN      PTR     ",'NIDS DNS table'!$B$8,".")</f>
        <v>10               IN      PTR     priems.name.cisco.com.</v>
      </c>
    </row>
    <row r="33" ht="13.5">
      <c r="A33" s="93" t="str">
        <f>CONCATENATE(RIGHT('NIDS DNS table'!$C$101,LEN('NIDS DNS table'!$C$101)-FIND(".",'NIDS DNS table'!$C$101,FIND(".",'NIDS DNS table'!$C$101,FIND(".",'NIDS DNS table'!$C$101)+1)+1)),REPT(" ",15),"IN      PTR     ",'NIDS DNS table'!$B$100,".")</f>
        <v>11               IN      PTR     crit-bMAIN-STEMS.name.cisco.com.</v>
      </c>
    </row>
    <row r="34" ht="13.5">
      <c r="A34" s="93" t="str">
        <f>CONCATENATE(RIGHT('NIDS DNS table'!$C$11,LEN('NIDS DNS table'!$C$11)-FIND(".",'NIDS DNS table'!$C$11,FIND(".",'NIDS DNS table'!$C$11,FIND(".",'NIDS DNS table'!$C$11)+1)+1)),REPT(" ",15),"IN      PTR     ",'NIDS DNS table'!$B$10,".")</f>
        <v>11               IN      PTR     secems.name.cisco.com.</v>
      </c>
    </row>
    <row r="35" ht="13.5">
      <c r="A35" s="93" t="str">
        <f>CONCATENATE(RIGHT('NIDS DNS table'!$C$13,LEN('NIDS DNS table'!$C$13)-FIND(".",'NIDS DNS table'!$C$13,FIND(".",'NIDS DNS table'!$C$13,FIND(".",'NIDS DNS table'!$C$13)+1)+1)),REPT(" ",15),"IN      PTR     ",'NIDS DNS table'!$B$12,".")</f>
        <v>12               IN      PTR     prica.name.cisco.com.</v>
      </c>
    </row>
    <row r="36" ht="13.5">
      <c r="A36" s="96" t="str">
        <f>CONCATENATE(RIGHT('NIDS DNS table'!$C$15,LEN('NIDS DNS table'!$C$15)-FIND(".",'NIDS DNS table'!$C$15,FIND(".",'NIDS DNS table'!$C$15,FIND(".",'NIDS DNS table'!$C$15)+1)+1)),REPT(" ",15),"IN      PTR     ",'NIDS DNS table'!$B$14,".")</f>
        <v>13               IN      PTR     secca.name.cisco.com.</v>
      </c>
    </row>
    <row r="37" ht="13.5">
      <c r="A37" s="93" t="str">
        <f>CONCATENATE(RIGHT('NIDS DNS table'!$C$19,LEN('NIDS DNS table'!$C$19)-FIND(".",'NIDS DNS table'!$C$19,FIND(".",'NIDS DNS table'!$C$19,FIND(".",'NIDS DNS table'!$C$19)+1)+1)),REPT(" ",15),"IN      PTR     ",'NIDS DNS table'!$B$18,".")</f>
        <v>254               IN      PTR     brokerems-MAIN-ST.name.cisco.com.</v>
      </c>
    </row>
    <row r="38" ht="13.5">
      <c r="A38" s="93"/>
    </row>
    <row r="39" ht="13.5">
      <c r="A39" s="93" t="str">
        <f>CONCATENATE("$ORIGIN ",MID('NIDS DNS table'!$C$44,FIND(".",'NIDS DNS table'!$C$44,FIND(".",'NIDS DNS table'!$C$44)+1)+1,FIND(".",'NIDS DNS table'!$C$44,FIND(".",'NIDS DNS table'!$C$44,FIND(".",'NIDS DNS table'!$C$44)+1)+1)-FIND(".",'NIDS DNS table'!$C$44,FIND(".",'NIDS DNS table'!$C$44)+1)),MID('NIDS DNS table'!$C$44,FIND(".",'NIDS DNS table'!$C$44)+1,FIND(".",'NIDS DNS table'!$C$44,FIND(".",'NIDS DNS table'!$C$44)+1)-FIND(".",'NIDS DNS table'!$C$44)),LEFT('NIDS DNS table'!$C$44,FIND(".",'NIDS DNS table'!$C$44)),"in-addr.arpa.")</f>
        <v>$ORIGIN 225.89.10.in-addr.arpa.</v>
      </c>
    </row>
    <row r="40" ht="13.5">
      <c r="A40" s="93" t="str">
        <f>CONCATENATE(RIGHT('NIDS DNS table'!$C$44,LEN('NIDS DNS table'!$C$44)-FIND(".",'NIDS DNS table'!$C$44,FIND(".",'NIDS DNS table'!$C$44,FIND(".",'NIDS DNS table'!$C$44)+1)+1)),REPT(" ",15),"IN      PTR     ",'NIDS DNS table'!$B$44,".")</f>
        <v>12               IN      PTR     sia-MAIN-STCA.name.cisco.com.</v>
      </c>
    </row>
    <row r="41" ht="13.5">
      <c r="A41" s="93" t="str">
        <f>CONCATENATE(RIGHT('NIDS DNS table'!$C$50,LEN('NIDS DNS table'!$C$50)-FIND(".",'NIDS DNS table'!$C$50,FIND(".",'NIDS DNS table'!$C$50,FIND(".",'NIDS DNS table'!$C$50)+1)+1)),REPT(" ",15),"IN      PTR     ",'NIDS DNS table'!$B$50,".")</f>
        <v>12               IN      PTR     crit-aMAIN-STCA.name.cisco.com.</v>
      </c>
    </row>
    <row r="42" ht="13.5">
      <c r="A42" s="93" t="str">
        <f>CONCATENATE(RIGHT('NIDS DNS table'!$C$54,LEN('NIDS DNS table'!$C$54)-FIND(".",'NIDS DNS table'!$C$54,FIND(".",'NIDS DNS table'!$C$54,FIND(".",'NIDS DNS table'!$C$54)+1)+1)),REPT(" ",15),"IN      PTR     ",'NIDS DNS table'!$B$54,".")</f>
        <v>12               IN      PTR     sia-MAIN-STCA.name.cisco.com.</v>
      </c>
    </row>
    <row r="43" ht="13.5">
      <c r="A43" s="93" t="str">
        <f>CONCATENATE(RIGHT('NIDS DNS table'!$C$64,LEN('NIDS DNS table'!$C$64)-FIND(".",'NIDS DNS table'!$C$64,FIND(".",'NIDS DNS table'!$C$64,FIND(".",'NIDS DNS table'!$C$64)+1)+1)),REPT(" ",15),"IN      PTR     ",'NIDS DNS table'!$B$64,".")</f>
        <v>12               IN      PTR     anm-aMAIN-STCA.name.cisco.com.</v>
      </c>
    </row>
    <row r="44" ht="13.5">
      <c r="A44" s="93" t="str">
        <f>CONCATENATE(RIGHT('NIDS DNS table'!$C$68,LEN('NIDS DNS table'!$C$68)-FIND(".",'NIDS DNS table'!$C$68,FIND(".",'NIDS DNS table'!$C$68,FIND(".",'NIDS DNS table'!$C$68)+1)+1)),REPT(" ",15),"IN      PTR     ",'NIDS DNS table'!$B$68,".")</f>
        <v>12               IN      PTR     sga-aMAIN-STCA.name.cisco.com.</v>
      </c>
    </row>
    <row r="45" ht="13.5">
      <c r="A45" s="93" t="str">
        <f>CONCATENATE(RIGHT('NIDS DNS table'!$C$72,LEN('NIDS DNS table'!$C$72)-FIND(".",'NIDS DNS table'!$C$72,FIND(".",'NIDS DNS table'!$C$72,FIND(".",'NIDS DNS table'!$C$72)+1)+1)),REPT(" ",15),"IN      PTR     ",'NIDS DNS table'!$B$72,".")</f>
        <v>12               IN      PTR     bsm-a1MAIN-STCA.name.cisco.com.</v>
      </c>
    </row>
    <row r="46" ht="13.5">
      <c r="A46" s="93" t="str">
        <f>CONCATENATE(RIGHT('NIDS DNS table'!$C$78,LEN('NIDS DNS table'!$C$78)-FIND(".",'NIDS DNS table'!$C$78,FIND(".",'NIDS DNS table'!$C$78,FIND(".",'NIDS DNS table'!$C$78)+1)+1)),REPT(" ",15),"IN      PTR     ",'NIDS DNS table'!$B$78,".")</f>
        <v>12               IN      PTR     crit-aMAIN-STAIN.name.cisco.com.</v>
      </c>
    </row>
    <row r="47" ht="13.5">
      <c r="A47" s="93" t="str">
        <f>CONCATENATE(RIGHT('NIDS DNS table'!$C$82,LEN('NIDS DNS table'!$C$82)-FIND(".",'NIDS DNS table'!$C$82,FIND(".",'NIDS DNS table'!$C$82,FIND(".",'NIDS DNS table'!$C$82)+1)+1)),REPT(" ",15),"IN      PTR     ",'NIDS DNS table'!$B$82,".")</f>
        <v>12               IN      PTR     sgw-aMAIN-STAIN.name.cisco.com.</v>
      </c>
    </row>
    <row r="48" ht="13.5">
      <c r="A48" s="93" t="str">
        <f>CONCATENATE(RIGHT('NIDS DNS table'!$C$88,LEN('NIDS DNS table'!$C$88)-FIND(".",'NIDS DNS table'!$C$88,FIND(".",'NIDS DNS table'!$C$88,FIND(".",'NIDS DNS table'!$C$88)+1)+1)),REPT(" ",15),"IN      PTR     ",'NIDS DNS table'!$B$88,".")</f>
        <v>12               IN      PTR     crit-aMAIN-STPTC.name.cisco.com.</v>
      </c>
    </row>
    <row r="49" ht="13.5">
      <c r="A49" s="93" t="str">
        <f>CONCATENATE(RIGHT('NIDS DNS table'!$C$92,LEN('NIDS DNS table'!$C$92)-FIND(".",'NIDS DNS table'!$C$92,FIND(".",'NIDS DNS table'!$C$92,FIND(".",'NIDS DNS table'!$C$92)+1)+1)),REPT(" ",15),"IN      PTR     ",'NIDS DNS table'!$B$92,".")</f>
        <v>12               IN      PTR     sgw-aMAIN-STPTC.name.cisco.com.</v>
      </c>
    </row>
    <row r="50" ht="13.5">
      <c r="A50" s="93" t="str">
        <f>CONCATENATE(RIGHT('NIDS DNS table'!$C$122,LEN('NIDS DNS table'!$C$122)-FIND(".",'NIDS DNS table'!$C$122,FIND(".",'NIDS DNS table'!$C$122,FIND(".",'NIDS DNS table'!$C$122)+1)+1)),REPT(" ",15),"IN      PTR     ",'NIDS DNS table'!$B$122,".")</f>
        <v>12               IN      PTR     iua-aMAIN-STCA.name.cisco.com.</v>
      </c>
    </row>
    <row r="51" ht="13.5">
      <c r="A51" s="93" t="str">
        <f>CONCATENATE(RIGHT('NIDS DNS table'!$C$46,LEN('NIDS DNS table'!$C$46)-FIND(".",'NIDS DNS table'!$C$46,FIND(".",'NIDS DNS table'!$C$46,FIND(".",'NIDS DNS table'!$C$46)+1)+1)),REPT(" ",15),"IN      PTR     ",'NIDS DNS table'!$B$44,".")</f>
        <v>13               IN      PTR     sia-MAIN-STCA.name.cisco.com.</v>
      </c>
    </row>
    <row r="52" ht="13.5">
      <c r="A52" s="93" t="str">
        <f>CONCATENATE(RIGHT('NIDS DNS table'!$C$52,LEN('NIDS DNS table'!$C$52)-FIND(".",'NIDS DNS table'!$C$52,FIND(".",'NIDS DNS table'!$C$52,FIND(".",'NIDS DNS table'!$C$52)+1)+1)),REPT(" ",15),"IN      PTR     ",'NIDS DNS table'!$B$52,".")</f>
        <v>13               IN      PTR     crit-bMAIN-STCA.name.cisco.com.</v>
      </c>
    </row>
    <row r="53" ht="13.5">
      <c r="A53" s="93" t="str">
        <f>CONCATENATE(RIGHT('NIDS DNS table'!$C$56,LEN('NIDS DNS table'!$C$56)-FIND(".",'NIDS DNS table'!$C$56,FIND(".",'NIDS DNS table'!$C$56,FIND(".",'NIDS DNS table'!$C$56)+1)+1)),REPT(" ",15),"IN      PTR     ",'NIDS DNS table'!$B$54,".")</f>
        <v>13               IN      PTR     sia-MAIN-STCA.name.cisco.com.</v>
      </c>
    </row>
    <row r="54" ht="13.5">
      <c r="A54" s="93" t="str">
        <f>CONCATENATE(RIGHT('NIDS DNS table'!$C$66,LEN('NIDS DNS table'!$C$66)-FIND(".",'NIDS DNS table'!$C$66,FIND(".",'NIDS DNS table'!$C$66,FIND(".",'NIDS DNS table'!$C$66)+1)+1)),REPT(" ",15),"IN      PTR     ",'NIDS DNS table'!$B$66,".")</f>
        <v>13               IN      PTR     anm-bMAIN-STCA.name.cisco.com.</v>
      </c>
    </row>
    <row r="55" ht="13.5">
      <c r="A55" s="93" t="str">
        <f>CONCATENATE(RIGHT('NIDS DNS table'!$C$70,LEN('NIDS DNS table'!$C$70)-FIND(".",'NIDS DNS table'!$C$70,FIND(".",'NIDS DNS table'!$C$70,FIND(".",'NIDS DNS table'!$C$70)+1)+1)),REPT(" ",15),"IN      PTR     ",'NIDS DNS table'!$B$70,".")</f>
        <v>13               IN      PTR     sga-bMAIN-STCA.name.cisco.com.</v>
      </c>
    </row>
    <row r="56" ht="13.5">
      <c r="A56" s="93" t="str">
        <f>CONCATENATE(RIGHT('NIDS DNS table'!$C$74,LEN('NIDS DNS table'!$C$74)-FIND(".",'NIDS DNS table'!$C$74,FIND(".",'NIDS DNS table'!$C$74,FIND(".",'NIDS DNS table'!$C$74)+1)+1)),REPT(" ",15),"IN      PTR     ",'NIDS DNS table'!$B$74,".")</f>
        <v>13               IN      PTR     bsm-b1MAIN-STCA.name.cisco.com.</v>
      </c>
    </row>
    <row r="57" ht="13.5">
      <c r="A57" s="93" t="str">
        <f>CONCATENATE(RIGHT('NIDS DNS table'!$C$80,LEN('NIDS DNS table'!$C$80)-FIND(".",'NIDS DNS table'!$C$80,FIND(".",'NIDS DNS table'!$C$80,FIND(".",'NIDS DNS table'!$C$80)+1)+1)),REPT(" ",15),"IN      PTR     ",'NIDS DNS table'!$B$80,".")</f>
        <v>13               IN      PTR     crit-bMAIN-STAIN.name.cisco.com.</v>
      </c>
    </row>
    <row r="58" ht="13.5">
      <c r="A58" s="93" t="str">
        <f>CONCATENATE(RIGHT('NIDS DNS table'!$C$84,LEN('NIDS DNS table'!$C$84)-FIND(".",'NIDS DNS table'!$C$84,FIND(".",'NIDS DNS table'!$C$84,FIND(".",'NIDS DNS table'!$C$84)+1)+1)),REPT(" ",15),"IN      PTR     ",'NIDS DNS table'!$B$84,".")</f>
        <v>13               IN      PTR     sgw-bMAIN-STAIN.name.cisco.com.</v>
      </c>
    </row>
    <row r="59" ht="13.5">
      <c r="A59" s="93" t="str">
        <f>CONCATENATE(RIGHT('NIDS DNS table'!$C$90,LEN('NIDS DNS table'!$C$90)-FIND(".",'NIDS DNS table'!$C$90,FIND(".",'NIDS DNS table'!$C$90,FIND(".",'NIDS DNS table'!$C$90)+1)+1)),REPT(" ",15),"IN      PTR     ",'NIDS DNS table'!$B$90,".")</f>
        <v>13               IN      PTR     crit-bMAIN-STPTC.name.cisco.com.</v>
      </c>
    </row>
    <row r="60" ht="13.5">
      <c r="A60" s="93" t="str">
        <f>CONCATENATE(RIGHT('NIDS DNS table'!$C$94,LEN('NIDS DNS table'!$C$94)-FIND(".",'NIDS DNS table'!$C$94,FIND(".",'NIDS DNS table'!$C$94,FIND(".",'NIDS DNS table'!$C$94)+1)+1)),REPT(" ",15),"IN      PTR     ",'NIDS DNS table'!$B$94,".")</f>
        <v>13               IN      PTR     sgw-bMAIN-STPTC.name.cisco.com.</v>
      </c>
    </row>
    <row r="61" ht="13.5">
      <c r="A61" s="93" t="str">
        <f>CONCATENATE(RIGHT('NIDS DNS table'!$C$124,LEN('NIDS DNS table'!$C$124)-FIND(".",'NIDS DNS table'!$C$124,FIND(".",'NIDS DNS table'!$C$124,FIND(".",'NIDS DNS table'!$C$124)+1)+1)),REPT(" ",15),"IN      PTR     ",'NIDS DNS table'!$B$124,".")</f>
        <v>13               IN      PTR     iua-bMAIN-STCA.name.cisco.com.</v>
      </c>
    </row>
    <row r="62" ht="13.5">
      <c r="A62" s="93" t="str">
        <f>CONCATENATE(RIGHT('NIDS DNS table'!$C$48,LEN('NIDS DNS table'!$C$48)-FIND(".",'NIDS DNS table'!$C$48,FIND(".",'NIDS DNS table'!$C$48,FIND(".",'NIDS DNS table'!$C$48)+1)+1)),REPT(" ",15),"IN      PTR     ",'NIDS DNS table'!$B$48,".")</f>
        <v>14               IN      PTR     mgcp-MAIN-STCA146.name.cisco.com.</v>
      </c>
    </row>
    <row r="63" ht="13.5">
      <c r="A63" s="93" t="str">
        <f>CONCATENATE(RIGHT('NIDS DNS table'!$C$96,LEN('NIDS DNS table'!$C$96)-FIND(".",'NIDS DNS table'!$C$96,FIND(".",'NIDS DNS table'!$C$96,FIND(".",'NIDS DNS table'!$C$96)+1)+1)),REPT(" ",15),"IN      PTR     ",'NIDS DNS table'!$B$96,".")</f>
        <v>15               IN      PTR     gfs-MAIN-STPTC235.name.cisco.com.</v>
      </c>
    </row>
    <row r="64" ht="13.5">
      <c r="A64" s="93" t="str">
        <f>CONCATENATE(RIGHT('NIDS DNS table'!$C$58,LEN('NIDS DNS table'!$C$58)-FIND(".",'NIDS DNS table'!$C$58,FIND(".",'NIDS DNS table'!$C$58,FIND(".",'NIDS DNS table'!$C$58)+1)+1)),REPT(" ",15),"IN      PTR     ",'NIDS DNS table'!$B$58,".")</f>
        <v>16               IN      PTR     sia-MAIN-STCA146.name.cisco.com.</v>
      </c>
    </row>
    <row r="65" ht="13.5">
      <c r="A65" s="93" t="str">
        <f>IF('NIDS Data Entry + Netwk tables'!$C$44="y",CONCATENATE(RIGHT('NIDS DNS table'!$C$60,LEN('NIDS DNS table'!$C$60)-FIND(".",'NIDS DNS table'!$C$60,FIND(".",'NIDS DNS table'!$C$60,FIND(".",'NIDS DNS table'!$C$60)+1)+1)),REPT(" ",15),"IN      PTR     ",'NIDS DNS table'!$B$60,"."),"")</f>
        <v>17               IN      PTR     h3a-MAIN-STCA146.name.cisco.com.</v>
      </c>
    </row>
    <row r="66" ht="13.5">
      <c r="A66" s="93" t="str">
        <f>CONCATENATE(RIGHT('NIDS DNS table'!$C$16,LEN('NIDS DNS table'!$C$16)-FIND(".",'NIDS DNS table'!$C$16,FIND(".",'NIDS DNS table'!$C$16,FIND(".",'NIDS DNS table'!$C$16)+1)+1)),REPT(" ",15),"IN      PTR     ",'NIDS DNS table'!$B$16,".")</f>
        <v>254               IN      PTR     broker-MAIN-ST.name.cisco.com.</v>
      </c>
    </row>
    <row r="67" ht="13.5">
      <c r="A67" s="93"/>
    </row>
    <row r="68" ht="13.5">
      <c r="A68" s="93" t="str">
        <f>CONCATENATE("$ORIGIN ",MID('NIDS DNS table'!$C$45,FIND(".",'NIDS DNS table'!$C$45,FIND(".",'NIDS DNS table'!$C$45)+1)+1,FIND(".",'NIDS DNS table'!$C$45,FIND(".",'NIDS DNS table'!$C$45,FIND(".",'NIDS DNS table'!$C$45)+1)+1)-FIND(".",'NIDS DNS table'!$C$45,FIND(".",'NIDS DNS table'!$C$45)+1)),MID('NIDS DNS table'!$C$45,FIND(".",'NIDS DNS table'!$C$45)+1,FIND(".",'NIDS DNS table'!$C$45,FIND(".",'NIDS DNS table'!$C$45)+1)-FIND(".",'NIDS DNS table'!$C$45)),LEFT('NIDS DNS table'!$C$45,FIND(".",'NIDS DNS table'!$C$45)),"in-addr.arpa.")</f>
        <v>$ORIGIN 226.89.10.in-addr.arpa.</v>
      </c>
    </row>
    <row r="69" ht="13.5">
      <c r="A69" s="93" t="str">
        <f>CONCATENATE(RIGHT('NIDS DNS table'!$C$45,LEN('NIDS DNS table'!$C$45)-FIND(".",'NIDS DNS table'!$C$45,FIND(".",'NIDS DNS table'!$C$45,FIND(".",'NIDS DNS table'!$C$45)+1)+1)),REPT(" ",15),"IN      PTR     ",'NIDS DNS table'!$B$44,".")</f>
        <v>12               IN      PTR     sia-MAIN-STCA.name.cisco.com.</v>
      </c>
    </row>
    <row r="70" ht="13.5">
      <c r="A70" s="93" t="str">
        <f>CONCATENATE(RIGHT('NIDS DNS table'!$C$51,LEN('NIDS DNS table'!$C$51)-FIND(".",'NIDS DNS table'!$C$51,FIND(".",'NIDS DNS table'!$C$51,FIND(".",'NIDS DNS table'!$C$51)+1)+1)),REPT(" ",15),"IN      PTR     ",'NIDS DNS table'!$B$50,".")</f>
        <v>12               IN      PTR     crit-aMAIN-STCA.name.cisco.com.</v>
      </c>
    </row>
    <row r="71" ht="13.5">
      <c r="A71" s="93" t="str">
        <f>CONCATENATE(RIGHT('NIDS DNS table'!$C$55,LEN('NIDS DNS table'!$C$55)-FIND(".",'NIDS DNS table'!$C$55,FIND(".",'NIDS DNS table'!$C$55,FIND(".",'NIDS DNS table'!$C$55)+1)+1)),REPT(" ",15),"IN      PTR     ",'NIDS DNS table'!$B$54,".")</f>
        <v>12               IN      PTR     sia-MAIN-STCA.name.cisco.com.</v>
      </c>
    </row>
    <row r="72" ht="13.5">
      <c r="A72" s="93" t="str">
        <f>CONCATENATE(RIGHT('NIDS DNS table'!$C$65,LEN('NIDS DNS table'!$C$65)-FIND(".",'NIDS DNS table'!$C$65,FIND(".",'NIDS DNS table'!$C$65,FIND(".",'NIDS DNS table'!$C$65)+1)+1)),REPT(" ",15),"IN      PTR     ",'NIDS DNS table'!$B$64,".")</f>
        <v>12               IN      PTR     anm-aMAIN-STCA.name.cisco.com.</v>
      </c>
    </row>
    <row r="73" ht="13.5">
      <c r="A73" s="93" t="str">
        <f>CONCATENATE(RIGHT('NIDS DNS table'!$C$69,LEN('NIDS DNS table'!$C$69)-FIND(".",'NIDS DNS table'!$C$69,FIND(".",'NIDS DNS table'!$C$69,FIND(".",'NIDS DNS table'!$C$69)+1)+1)),REPT(" ",15),"IN      PTR     ",'NIDS DNS table'!$B$68,".")</f>
        <v>12               IN      PTR     sga-aMAIN-STCA.name.cisco.com.</v>
      </c>
    </row>
    <row r="74" ht="13.5">
      <c r="A74" s="93" t="str">
        <f>CONCATENATE(RIGHT('NIDS DNS table'!$C$73,LEN('NIDS DNS table'!$C$73)-FIND(".",'NIDS DNS table'!$C$73,FIND(".",'NIDS DNS table'!$C$73,FIND(".",'NIDS DNS table'!$C$73)+1)+1)),REPT(" ",15),"IN      PTR     ",'NIDS DNS table'!$B$73,".")</f>
        <v>12               IN      PTR     bsm-a2MAIN-STCA.name.cisco.com.</v>
      </c>
    </row>
    <row r="75" ht="13.5">
      <c r="A75" s="93" t="str">
        <f>CONCATENATE(RIGHT('NIDS DNS table'!$C$79,LEN('NIDS DNS table'!$C$79)-FIND(".",'NIDS DNS table'!$C$79,FIND(".",'NIDS DNS table'!$C$79,FIND(".",'NIDS DNS table'!$C$79)+1)+1)),REPT(" ",15),"IN      PTR     ",'NIDS DNS table'!$B$78,".")</f>
        <v>12               IN      PTR     crit-aMAIN-STAIN.name.cisco.com.</v>
      </c>
    </row>
    <row r="76" ht="13.5">
      <c r="A76" s="93" t="str">
        <f>CONCATENATE(RIGHT('NIDS DNS table'!$C$83,LEN('NIDS DNS table'!$C$83)-FIND(".",'NIDS DNS table'!$C$83,FIND(".",'NIDS DNS table'!$C$83,FIND(".",'NIDS DNS table'!$C$83)+1)+1)),REPT(" ",15),"IN      PTR     ",'NIDS DNS table'!$B$82,".")</f>
        <v>12               IN      PTR     sgw-aMAIN-STAIN.name.cisco.com.</v>
      </c>
    </row>
    <row r="77" ht="13.5">
      <c r="A77" s="93" t="str">
        <f>CONCATENATE(RIGHT('NIDS DNS table'!$C$89,LEN('NIDS DNS table'!$C$89)-FIND(".",'NIDS DNS table'!$C$89,FIND(".",'NIDS DNS table'!$C$89,FIND(".",'NIDS DNS table'!$C$89)+1)+1)),REPT(" ",15),"IN      PTR     ",'NIDS DNS table'!$B$88,".")</f>
        <v>12               IN      PTR     crit-aMAIN-STPTC.name.cisco.com.</v>
      </c>
    </row>
    <row r="78" ht="13.5">
      <c r="A78" s="93" t="str">
        <f>CONCATENATE(RIGHT('NIDS DNS table'!$C$93,LEN('NIDS DNS table'!$C$93)-FIND(".",'NIDS DNS table'!$C$93,FIND(".",'NIDS DNS table'!$C$93,FIND(".",'NIDS DNS table'!$C$93)+1)+1)),REPT(" ",15),"IN      PTR     ",'NIDS DNS table'!$B$92,".")</f>
        <v>12               IN      PTR     sgw-aMAIN-STPTC.name.cisco.com.</v>
      </c>
    </row>
    <row r="79" ht="13.5">
      <c r="A79" s="93" t="str">
        <f>CONCATENATE(RIGHT('NIDS DNS table'!$C$123,LEN('NIDS DNS table'!$C$123)-FIND(".",'NIDS DNS table'!$C$123,FIND(".",'NIDS DNS table'!$C$123,FIND(".",'NIDS DNS table'!$C$123)+1)+1)),REPT(" ",15),"IN      PTR     ",'NIDS DNS table'!$B$122,".")</f>
        <v>12               IN      PTR     iua-aMAIN-STCA.name.cisco.com.</v>
      </c>
    </row>
    <row r="80" ht="13.5">
      <c r="A80" s="93" t="str">
        <f>CONCATENATE(RIGHT('NIDS DNS table'!$C$47,LEN('NIDS DNS table'!$C$47)-FIND(".",'NIDS DNS table'!$C$47,FIND(".",'NIDS DNS table'!$C$47,FIND(".",'NIDS DNS table'!$C$47)+1)+1)),REPT(" ",15),"IN      PTR     ",'NIDS DNS table'!$B$44,".")</f>
        <v>13               IN      PTR     sia-MAIN-STCA.name.cisco.com.</v>
      </c>
    </row>
    <row r="81" ht="13.5">
      <c r="A81" s="93" t="str">
        <f>CONCATENATE(RIGHT('NIDS DNS table'!$C$53,LEN('NIDS DNS table'!$C$53)-FIND(".",'NIDS DNS table'!$C$53,FIND(".",'NIDS DNS table'!$C$53,FIND(".",'NIDS DNS table'!$C$53)+1)+1)),REPT(" ",15),"IN      PTR     ",'NIDS DNS table'!$B$52,".")</f>
        <v>13               IN      PTR     crit-bMAIN-STCA.name.cisco.com.</v>
      </c>
    </row>
    <row r="82" ht="13.5">
      <c r="A82" s="93" t="str">
        <f>CONCATENATE(RIGHT('NIDS DNS table'!$C$57,LEN('NIDS DNS table'!$C$57)-FIND(".",'NIDS DNS table'!$C$57,FIND(".",'NIDS DNS table'!$C$57,FIND(".",'NIDS DNS table'!$C$57)+1)+1)),REPT(" ",15),"IN      PTR     ",'NIDS DNS table'!$B$54,".")</f>
        <v>13               IN      PTR     sia-MAIN-STCA.name.cisco.com.</v>
      </c>
    </row>
    <row r="83" ht="13.5">
      <c r="A83" s="93" t="str">
        <f>CONCATENATE(RIGHT('NIDS DNS table'!$C$67,LEN('NIDS DNS table'!$C$67)-FIND(".",'NIDS DNS table'!$C$67,FIND(".",'NIDS DNS table'!$C$67,FIND(".",'NIDS DNS table'!$C$67)+1)+1)),REPT(" ",15),"IN      PTR     ",'NIDS DNS table'!$B$66,".")</f>
        <v>13               IN      PTR     anm-bMAIN-STCA.name.cisco.com.</v>
      </c>
    </row>
    <row r="84" ht="13.5">
      <c r="A84" s="93" t="str">
        <f>CONCATENATE(RIGHT('NIDS DNS table'!$C$71,LEN('NIDS DNS table'!$C$71)-FIND(".",'NIDS DNS table'!$C$71,FIND(".",'NIDS DNS table'!$C$71,FIND(".",'NIDS DNS table'!$C$71)+1)+1)),REPT(" ",15),"IN      PTR     ",'NIDS DNS table'!$B$70,".")</f>
        <v>13               IN      PTR     sga-bMAIN-STCA.name.cisco.com.</v>
      </c>
    </row>
    <row r="85" ht="13.5">
      <c r="A85" s="93" t="str">
        <f>CONCATENATE(RIGHT('NIDS DNS table'!$C$75,LEN('NIDS DNS table'!$C$75)-FIND(".",'NIDS DNS table'!$C$75,FIND(".",'NIDS DNS table'!$C$75,FIND(".",'NIDS DNS table'!$C$75)+1)+1)),REPT(" ",15),"IN      PTR     ",'NIDS DNS table'!$B$75,".")</f>
        <v>13               IN      PTR     bsm-b2MAIN-STCA.name.cisco.com.</v>
      </c>
    </row>
    <row r="86" ht="13.5">
      <c r="A86" s="93" t="str">
        <f>CONCATENATE(RIGHT('NIDS DNS table'!$C$81,LEN('NIDS DNS table'!$C$81)-FIND(".",'NIDS DNS table'!$C$81,FIND(".",'NIDS DNS table'!$C$81,FIND(".",'NIDS DNS table'!$C$81)+1)+1)),REPT(" ",15),"IN      PTR     ",'NIDS DNS table'!$B$80,".")</f>
        <v>13               IN      PTR     crit-bMAIN-STAIN.name.cisco.com.</v>
      </c>
    </row>
    <row r="87" ht="13.5">
      <c r="A87" s="93" t="str">
        <f>CONCATENATE(RIGHT('NIDS DNS table'!$C$85,LEN('NIDS DNS table'!$C$85)-FIND(".",'NIDS DNS table'!$C$85,FIND(".",'NIDS DNS table'!$C$85,FIND(".",'NIDS DNS table'!$C$85)+1)+1)),REPT(" ",15),"IN      PTR     ",'NIDS DNS table'!$B$84,".")</f>
        <v>13               IN      PTR     sgw-bMAIN-STAIN.name.cisco.com.</v>
      </c>
    </row>
    <row r="88" ht="13.5">
      <c r="A88" s="93" t="str">
        <f>CONCATENATE(RIGHT('NIDS DNS table'!$C$91,LEN('NIDS DNS table'!$C$91)-FIND(".",'NIDS DNS table'!$C$91,FIND(".",'NIDS DNS table'!$C$91,FIND(".",'NIDS DNS table'!$C$91)+1)+1)),REPT(" ",15),"IN      PTR     ",'NIDS DNS table'!$B$90,".")</f>
        <v>13               IN      PTR     crit-bMAIN-STPTC.name.cisco.com.</v>
      </c>
    </row>
    <row r="89" ht="13.5">
      <c r="A89" s="93" t="str">
        <f>CONCATENATE(RIGHT('NIDS DNS table'!$C$95,LEN('NIDS DNS table'!$C$95)-FIND(".",'NIDS DNS table'!$C$95,FIND(".",'NIDS DNS table'!$C$95,FIND(".",'NIDS DNS table'!$C$95)+1)+1)),REPT(" ",15),"IN      PTR     ",'NIDS DNS table'!$B$94,".")</f>
        <v>13               IN      PTR     sgw-bMAIN-STPTC.name.cisco.com.</v>
      </c>
    </row>
    <row r="90" ht="13.5">
      <c r="A90" s="93" t="str">
        <f>CONCATENATE(RIGHT('NIDS DNS table'!$C$125,LEN('NIDS DNS table'!$C$125)-FIND(".",'NIDS DNS table'!$C$125,FIND(".",'NIDS DNS table'!$C$125,FIND(".",'NIDS DNS table'!$C$125)+1)+1)),REPT(" ",15),"IN      PTR     ",'NIDS DNS table'!$B$124,".")</f>
        <v>13               IN      PTR     iua-bMAIN-STCA.name.cisco.com.</v>
      </c>
    </row>
    <row r="91" ht="13.5">
      <c r="A91" s="93" t="str">
        <f>CONCATENATE(RIGHT('NIDS DNS table'!$C$49,LEN('NIDS DNS table'!$C$49)-FIND(".",'NIDS DNS table'!$C$49,FIND(".",'NIDS DNS table'!$C$49,FIND(".",'NIDS DNS table'!$C$49)+1)+1)),REPT(" ",15),"IN      PTR     ",'NIDS DNS table'!$B$48,".")</f>
        <v>14               IN      PTR     mgcp-MAIN-STCA146.name.cisco.com.</v>
      </c>
    </row>
    <row r="92" ht="13.5">
      <c r="A92" s="93" t="str">
        <f>CONCATENATE(RIGHT('NIDS DNS table'!$C$97,LEN('NIDS DNS table'!$C$97)-FIND(".",'NIDS DNS table'!$C$97,FIND(".",'NIDS DNS table'!$C$97,FIND(".",'NIDS DNS table'!$C$97)+1)+1)),REPT(" ",15),"IN      PTR     ",'NIDS DNS table'!$B$96,".")</f>
        <v>15               IN      PTR     gfs-MAIN-STPTC235.name.cisco.com.</v>
      </c>
    </row>
    <row r="93" ht="13.5">
      <c r="A93" s="93" t="str">
        <f>CONCATENATE(RIGHT('NIDS DNS table'!$C$59,LEN('NIDS DNS table'!$C$59)-FIND(".",'NIDS DNS table'!$C$59,FIND(".",'NIDS DNS table'!$C$59,FIND(".",'NIDS DNS table'!$C$59)+1)+1)),REPT(" ",15),"IN      PTR     ",'NIDS DNS table'!$B$58,".")</f>
        <v>16               IN      PTR     sia-MAIN-STCA146.name.cisco.com.</v>
      </c>
    </row>
    <row r="94" ht="13.5">
      <c r="A94" s="93" t="str">
        <f>IF('NIDS Data Entry + Netwk tables'!$C$44="y",CONCATENATE(RIGHT('NIDS DNS table'!$C$61,LEN('NIDS DNS table'!$C$61)-FIND(".",'NIDS DNS table'!$C$61,FIND(".",'NIDS DNS table'!$C$61,FIND(".",'NIDS DNS table'!$C$61)+1)+1)),REPT(" ",15),"IN      PTR     ",'NIDS DNS table'!$B$60,"."),"")</f>
        <v>17               IN      PTR     h3a-MAIN-STCA146.name.cisco.com.</v>
      </c>
    </row>
    <row r="95" ht="13.5">
      <c r="A95" s="93" t="str">
        <f>CONCATENATE(RIGHT('NIDS DNS table'!$C$17,LEN('NIDS DNS table'!$C$17)-FIND(".",'NIDS DNS table'!$C$17,FIND(".",'NIDS DNS table'!$C$17,FIND(".",'NIDS DNS table'!$C$17)+1)+1)),REPT(" ",15),"IN      PTR     ",'NIDS DNS table'!$B$16,".")</f>
        <v>254               IN      PTR     broker-MAIN-ST.name.cisco.com.</v>
      </c>
    </row>
    <row r="96" ht="13.5">
      <c r="A96" s="93"/>
    </row>
    <row r="97" ht="13.5">
      <c r="A97" s="93"/>
    </row>
    <row r="98" ht="13.5">
      <c r="A98" s="93" t="s">
        <v>617</v>
      </c>
    </row>
    <row r="99" ht="13.5">
      <c r="A99" s="93" t="s">
        <v>622</v>
      </c>
    </row>
    <row r="100" ht="13.5">
      <c r="A100" s="93" t="s">
        <v>617</v>
      </c>
    </row>
    <row r="101" ht="13.5">
      <c r="A101" s="93"/>
    </row>
    <row r="102" ht="13.5">
      <c r="A102" s="93" t="str">
        <f>CONCATENATE("$ORIGIN ",MID('NIDS DNS table'!$C$20,FIND(".",'NIDS DNS table'!$C$20,FIND(".",'NIDS DNS table'!$C$20)+1)+1,FIND(".",'NIDS DNS table'!$C$20,FIND(".",'NIDS DNS table'!$C$20,FIND(".",'NIDS DNS table'!$C$20)+1)+1)-FIND(".",'NIDS DNS table'!$C$20,FIND(".",'NIDS DNS table'!$C$20)+1)),MID('NIDS DNS table'!$C$20,FIND(".",'NIDS DNS table'!$C$20)+1,FIND(".",'NIDS DNS table'!$C$20,FIND(".",'NIDS DNS table'!$C$20)+1)-FIND(".",'NIDS DNS table'!$C$20)),LEFT('NIDS DNS table'!$C$20,FIND(".",'NIDS DNS table'!$C$20)),"in-addr.arpa.")</f>
        <v>$ORIGIN 120.10.10.in-addr.arpa.</v>
      </c>
    </row>
    <row r="103" ht="13.5">
      <c r="A103" s="93" t="str">
        <f>CONCATENATE(RIGHT('NIDS DNS table'!$C$20,LEN('NIDS DNS table'!$C$20)-FIND(".",'NIDS DNS table'!$C$20,FIND(".",'NIDS DNS table'!$C$20,FIND(".",'NIDS DNS table'!$C$20)+1)+1)),REPT(" ",15),"IN      PTR     ",'NIDS DNS table'!$B$20,".")</f>
        <v>12               IN      PTR     red-aMAIN-STCA.name.cisco.com.</v>
      </c>
    </row>
    <row r="104" ht="13.5">
      <c r="A104" s="93" t="str">
        <f>CONCATENATE(RIGHT('NIDS DNS table'!$C$24,LEN('NIDS DNS table'!$C$24)-FIND(".",'NIDS DNS table'!$C$24,FIND(".",'NIDS DNS table'!$C$24,FIND(".",'NIDS DNS table'!$C$24)+1)+1)),REPT(" ",15),"IN      PTR     ",'NIDS DNS table'!$B$24,".")</f>
        <v>12               IN      PTR     red-aMAIN-STAIN.name.cisco.com.</v>
      </c>
    </row>
    <row r="105" ht="13.5">
      <c r="A105" s="93" t="str">
        <f>CONCATENATE(RIGHT('NIDS DNS table'!$C$28,LEN('NIDS DNS table'!$C$28)-FIND(".",'NIDS DNS table'!$C$28,FIND(".",'NIDS DNS table'!$C$28,FIND(".",'NIDS DNS table'!$C$28)+1)+1)),REPT(" ",15),"IN      PTR     ",'NIDS DNS table'!$B$28,".")</f>
        <v>12               IN      PTR     red-aMAIN-STPTC.name.cisco.com.</v>
      </c>
    </row>
    <row r="106" ht="13.5">
      <c r="A106" s="93" t="str">
        <f>CONCATENATE(RIGHT('NIDS DNS table'!$C$22,LEN('NIDS DNS table'!$C$22)-FIND(".",'NIDS DNS table'!$C$22,FIND(".",'NIDS DNS table'!$C$22,FIND(".",'NIDS DNS table'!$C$22)+1)+1)),REPT(" ",15),"IN      PTR     ",'NIDS DNS table'!$B$22,".")</f>
        <v>13               IN      PTR     red-bMAIN-STCA.name.cisco.com.</v>
      </c>
    </row>
    <row r="107" ht="13.5">
      <c r="A107" s="93" t="str">
        <f>CONCATENATE(RIGHT('NIDS DNS table'!$C$26,LEN('NIDS DNS table'!$C$26)-FIND(".",'NIDS DNS table'!$C$26,FIND(".",'NIDS DNS table'!$C$26,FIND(".",'NIDS DNS table'!$C$26)+1)+1)),REPT(" ",15),"IN      PTR     ",'NIDS DNS table'!$B$26,".")</f>
        <v>13               IN      PTR     red-bMAIN-STAIN.name.cisco.com.</v>
      </c>
    </row>
    <row r="108" ht="13.5">
      <c r="A108" s="93" t="str">
        <f>CONCATENATE(RIGHT('NIDS DNS table'!$C$30,LEN('NIDS DNS table'!$C$30)-FIND(".",'NIDS DNS table'!$C$30,FIND(".",'NIDS DNS table'!$C$30,FIND(".",'NIDS DNS table'!$C$30)+1)+1)),REPT(" ",15),"IN      PTR     ",'NIDS DNS table'!$B$30,".")</f>
        <v>13               IN      PTR     red-bMAIN-STPTC.name.cisco.com.</v>
      </c>
    </row>
    <row r="109" ht="13.5">
      <c r="A109" s="93"/>
    </row>
    <row r="110" ht="13.5">
      <c r="A110" s="93" t="str">
        <f>CONCATENATE("$ORIGIN ",MID('NIDS DNS table'!$C$21,FIND(".",'NIDS DNS table'!$C$21,FIND(".",'NIDS DNS table'!$C$21)+1)+1,FIND(".",'NIDS DNS table'!$C$21,FIND(".",'NIDS DNS table'!$C$21,FIND(".",'NIDS DNS table'!$C$21)+1)+1)-FIND(".",'NIDS DNS table'!$C$21,FIND(".",'NIDS DNS table'!$C$21)+1)),MID('NIDS DNS table'!$C$21,FIND(".",'NIDS DNS table'!$C$21)+1,FIND(".",'NIDS DNS table'!$C$21,FIND(".",'NIDS DNS table'!$C$21)+1)-FIND(".",'NIDS DNS table'!$C$21)),LEFT('NIDS DNS table'!$C$21,FIND(".",'NIDS DNS table'!$C$21)),"in-addr.arpa.")</f>
        <v>$ORIGIN 121.10.10.in-addr.arpa.</v>
      </c>
    </row>
    <row r="111" ht="13.5">
      <c r="A111" s="93" t="str">
        <f>CONCATENATE(RIGHT('NIDS DNS table'!$C$21,LEN('NIDS DNS table'!$C$21)-FIND(".",'NIDS DNS table'!$C$21,FIND(".",'NIDS DNS table'!$C$21,FIND(".",'NIDS DNS table'!$C$21)+1)+1)),REPT(" ",15),"IN      PTR     ",'NIDS DNS table'!$B$20,".")</f>
        <v>12               IN      PTR     red-aMAIN-STCA.name.cisco.com.</v>
      </c>
    </row>
    <row r="112" ht="13.5">
      <c r="A112" s="93" t="str">
        <f>CONCATENATE(RIGHT('NIDS DNS table'!$C$25,LEN('NIDS DNS table'!$C$25)-FIND(".",'NIDS DNS table'!$C$25,FIND(".",'NIDS DNS table'!$C$25,FIND(".",'NIDS DNS table'!$C$25)+1)+1)),REPT(" ",15),"IN      PTR     ",'NIDS DNS table'!$B$24,".")</f>
        <v>12               IN      PTR     red-aMAIN-STAIN.name.cisco.com.</v>
      </c>
    </row>
    <row r="113" ht="13.5">
      <c r="A113" s="93" t="str">
        <f>CONCATENATE(RIGHT('NIDS DNS table'!$C$29,LEN('NIDS DNS table'!$C$29)-FIND(".",'NIDS DNS table'!$C$29,FIND(".",'NIDS DNS table'!$C$29,FIND(".",'NIDS DNS table'!$C$29)+1)+1)),REPT(" ",15),"IN      PTR     ",'NIDS DNS table'!$B$28,".")</f>
        <v>12               IN      PTR     red-aMAIN-STPTC.name.cisco.com.</v>
      </c>
    </row>
    <row r="114" ht="13.5">
      <c r="A114" s="93" t="str">
        <f>CONCATENATE(RIGHT('NIDS DNS table'!$C$23,LEN('NIDS DNS table'!$C$23)-FIND(".",'NIDS DNS table'!$C$23,FIND(".",'NIDS DNS table'!$C$23,FIND(".",'NIDS DNS table'!$C$23)+1)+1)),REPT(" ",15),"IN      PTR     ",'NIDS DNS table'!$B$22,".")</f>
        <v>13               IN      PTR     red-bMAIN-STCA.name.cisco.com.</v>
      </c>
    </row>
    <row r="115" ht="13.5">
      <c r="A115" s="93" t="str">
        <f>CONCATENATE(RIGHT('NIDS DNS table'!$C$27,LEN('NIDS DNS table'!$C$27)-FIND(".",'NIDS DNS table'!$C$27,FIND(".",'NIDS DNS table'!$C$27,FIND(".",'NIDS DNS table'!$C$27)+1)+1)),REPT(" ",15),"IN      PTR     ",'NIDS DNS table'!$B$26,".")</f>
        <v>13               IN      PTR     red-bMAIN-STAIN.name.cisco.com.</v>
      </c>
    </row>
    <row r="116" ht="13.5">
      <c r="A116" s="93" t="str">
        <f>CONCATENATE(RIGHT('NIDS DNS table'!$C$31,LEN('NIDS DNS table'!$C$31)-FIND(".",'NIDS DNS table'!$C$31,FIND(".",'NIDS DNS table'!$C$31,FIND(".",'NIDS DNS table'!$C$31)+1)+1)),REPT(" ",15),"IN      PTR     ",'NIDS DNS table'!$B$30,".")</f>
        <v>13               IN      PTR     red-bMAIN-STPTC.name.cisco.com.</v>
      </c>
    </row>
    <row r="117" ht="13.5">
      <c r="A117" s="93"/>
    </row>
    <row r="118" ht="13.5">
      <c r="A118" s="93" t="str">
        <f>CONCATENATE("$ORIGIN ",MID('NIDS DNS table'!$C$32,FIND(".",'NIDS DNS table'!$C$32,FIND(".",'NIDS DNS table'!$C$32)+1)+1,FIND(".",'NIDS DNS table'!$C$32,FIND(".",'NIDS DNS table'!$C$32,FIND(".",'NIDS DNS table'!$C$32)+1)+1)-FIND(".",'NIDS DNS table'!$C$32,FIND(".",'NIDS DNS table'!$C$32)+1)),MID('NIDS DNS table'!$C$32,FIND(".",'NIDS DNS table'!$C$32)+1,FIND(".",'NIDS DNS table'!$C$32,FIND(".",'NIDS DNS table'!$C$32)+1)-FIND(".",'NIDS DNS table'!$C$32)),LEFT('NIDS DNS table'!$C$32,FIND(".",'NIDS DNS table'!$C$32)),"in-addr.arpa.")</f>
        <v>$ORIGIN 122.10.10.in-addr.arpa.</v>
      </c>
    </row>
    <row r="119" ht="13.5">
      <c r="A119" s="93" t="str">
        <f>CONCATENATE(RIGHT('NIDS DNS table'!$C$32,LEN('NIDS DNS table'!$C$32)-FIND(".",'NIDS DNS table'!$C$32,FIND(".",'NIDS DNS table'!$C$32,FIND(".",'NIDS DNS table'!$C$32)+1)+1)),REPT(" ",15),"IN      PTR     ",'NIDS DNS table'!$B$32,".")</f>
        <v>10               IN      PTR     red-aMAIN-STEMS.name.cisco.com.</v>
      </c>
    </row>
    <row r="120" ht="13.5">
      <c r="A120" s="93" t="str">
        <f>CONCATENATE(RIGHT('NIDS DNS table'!$C$36,LEN('NIDS DNS table'!$C$36)-FIND(".",'NIDS DNS table'!$C$36,FIND(".",'NIDS DNS table'!$C$36,FIND(".",'NIDS DNS table'!$C$36)+1)+1)),REPT(" ",15),"IN      PTR     ",'NIDS DNS table'!$B$36,".")</f>
        <v>10               IN      PTR     blg-aMAIN-STEMS.name.cisco.com.</v>
      </c>
    </row>
    <row r="121" ht="13.5">
      <c r="A121" s="93" t="str">
        <f>CONCATENATE(RIGHT('NIDS DNS table'!$C$114,LEN('NIDS DNS table'!$C$114)-FIND(".",'NIDS DNS table'!$C$114,FIND(".",'NIDS DNS table'!$C$114,FIND(".",'NIDS DNS table'!$C$114)+1)+1)),REPT(" ",15),"IN      PTR     ",'NIDS DNS table'!$B$114,".")</f>
        <v>10               IN      PTR     oms-aMAIN-STEMS.name.cisco.com.</v>
      </c>
    </row>
    <row r="122" ht="13.5">
      <c r="A122" s="93" t="str">
        <f>CONCATENATE(RIGHT('NIDS DNS table'!$C$118,LEN('NIDS DNS table'!$C$118)-FIND(".",'NIDS DNS table'!$C$118,FIND(".",'NIDS DNS table'!$C$118,FIND(".",'NIDS DNS table'!$C$118)+1)+1)),REPT(" ",15),"IN      PTR     ",'NIDS DNS table'!$B$118,".")</f>
        <v>10               IN      PTR     mdii-aMAIN-STEMS.name.cisco.com.</v>
      </c>
    </row>
    <row r="123" ht="13.5">
      <c r="A123" s="93" t="str">
        <f>CONCATENATE(RIGHT('NIDS DNS table'!$C$34,LEN('NIDS DNS table'!$C$34)-FIND(".",'NIDS DNS table'!$C$34,FIND(".",'NIDS DNS table'!$C$34,FIND(".",'NIDS DNS table'!$C$34)+1)+1)),REPT(" ",15),"IN      PTR     ",'NIDS DNS table'!$B$34,".")</f>
        <v>11               IN      PTR     red-bMAIN-STEMS.name.cisco.com.</v>
      </c>
    </row>
    <row r="124" ht="13.5">
      <c r="A124" s="93" t="str">
        <f>CONCATENATE(RIGHT('NIDS DNS table'!$C$38,LEN('NIDS DNS table'!$C$38)-FIND(".",'NIDS DNS table'!$C$38,FIND(".",'NIDS DNS table'!$C$38,FIND(".",'NIDS DNS table'!$C$38)+1)+1)),REPT(" ",15),"IN      PTR     ",'NIDS DNS table'!$B$38,".")</f>
        <v>11               IN      PTR     blg-bMAIN-STEMS.name.cisco.com.</v>
      </c>
    </row>
    <row r="125" ht="13.5">
      <c r="A125" s="93" t="str">
        <f>CONCATENATE(RIGHT('NIDS DNS table'!$C$116,LEN('NIDS DNS table'!$C$116)-FIND(".",'NIDS DNS table'!$C$116,FIND(".",'NIDS DNS table'!$C$116,FIND(".",'NIDS DNS table'!$C$116)+1)+1)),REPT(" ",15),"IN      PTR     ",'NIDS DNS table'!$B$116,".")</f>
        <v>11               IN      PTR     oms-bMAIN-STEMS.name.cisco.com.</v>
      </c>
    </row>
    <row r="126" ht="13.5">
      <c r="A126" s="93" t="str">
        <f>CONCATENATE(RIGHT('NIDS DNS table'!$C$120,LEN('NIDS DNS table'!$C$120)-FIND(".",'NIDS DNS table'!$C$120,FIND(".",'NIDS DNS table'!$C$120,FIND(".",'NIDS DNS table'!$C$120)+1)+1)),REPT(" ",15),"IN      PTR     ",'NIDS DNS table'!$B$120,".")</f>
        <v>11               IN      PTR     mdii-bMAIN-STEMS.name.cisco.com.</v>
      </c>
    </row>
    <row r="127" ht="13.5">
      <c r="A127" s="93" t="str">
        <f>CONCATENATE(RIGHT('NIDS DNS table'!$C$40,LEN('NIDS DNS table'!$C$40)-FIND(".",'NIDS DNS table'!$C$40,FIND(".",'NIDS DNS table'!$C$40,FIND(".",'NIDS DNS table'!$C$40)+1)+1)),REPT(" ",15),"IN      PTR     ",'NIDS DNS table'!$B$40,".")</f>
        <v>12               IN      PTR     blg-aMAIN-STCA.name.cisco.com.</v>
      </c>
    </row>
    <row r="128" ht="13.5">
      <c r="A128" s="93" t="str">
        <f>CONCATENATE(RIGHT('NIDS DNS table'!$C$102,LEN('NIDS DNS table'!$C$102)-FIND(".",'NIDS DNS table'!$C$102,FIND(".",'NIDS DNS table'!$C$102,FIND(".",'NIDS DNS table'!$C$102)+1)+1)),REPT(" ",15),"IN      PTR     ",'NIDS DNS table'!$B$102,".")</f>
        <v>12               IN      PTR     oms-aMAIN-STCA.name.cisco.com.</v>
      </c>
    </row>
    <row r="129" ht="13.5">
      <c r="A129" s="93" t="str">
        <f>CONCATENATE(RIGHT('NIDS DNS table'!$C$106,LEN('NIDS DNS table'!$C$106)-FIND(".",'NIDS DNS table'!$C$106,FIND(".",'NIDS DNS table'!$C$106,FIND(".",'NIDS DNS table'!$C$106)+1)+1)),REPT(" ",15),"IN      PTR     ",'NIDS DNS table'!$B$106,".")</f>
        <v>12               IN      PTR     oms-aMAIN-STAIN.name.cisco.com.</v>
      </c>
    </row>
    <row r="130" ht="13.5">
      <c r="A130" s="93" t="str">
        <f>CONCATENATE(RIGHT('NIDS DNS table'!$C$110,LEN('NIDS DNS table'!$C$110)-FIND(".",'NIDS DNS table'!$C$110,FIND(".",'NIDS DNS table'!$C$110,FIND(".",'NIDS DNS table'!$C$110)+1)+1)),REPT(" ",15),"IN      PTR     ",'NIDS DNS table'!$B$110,".")</f>
        <v>12               IN      PTR     oms-aMAIN-STPTC.name.cisco.com.</v>
      </c>
    </row>
    <row r="131" ht="13.5">
      <c r="A131" s="93" t="str">
        <f>CONCATENATE(RIGHT('NIDS DNS table'!$C$42,LEN('NIDS DNS table'!$C$42)-FIND(".",'NIDS DNS table'!$C$42,FIND(".",'NIDS DNS table'!$C$42,FIND(".",'NIDS DNS table'!$C$42)+1)+1)),REPT(" ",15),"IN      PTR     ",'NIDS DNS table'!$B$42,".")</f>
        <v>13               IN      PTR     blg-bMAIN-STCA.name.cisco.com.</v>
      </c>
    </row>
    <row r="132" ht="13.5">
      <c r="A132" s="93" t="str">
        <f>CONCATENATE(RIGHT('NIDS DNS table'!$C$104,LEN('NIDS DNS table'!$C$104)-FIND(".",'NIDS DNS table'!$C$104,FIND(".",'NIDS DNS table'!$C$104,FIND(".",'NIDS DNS table'!$C$104)+1)+1)),REPT(" ",15),"IN      PTR     ",'NIDS DNS table'!$B$104,".")</f>
        <v>13               IN      PTR     oms-bMAIN-STCA.name.cisco.com.</v>
      </c>
    </row>
    <row r="133" ht="13.5">
      <c r="A133" s="93" t="str">
        <f>CONCATENATE(RIGHT('NIDS DNS table'!$C$108,LEN('NIDS DNS table'!$C$108)-FIND(".",'NIDS DNS table'!$C$108,FIND(".",'NIDS DNS table'!$C$108,FIND(".",'NIDS DNS table'!$C$108)+1)+1)),REPT(" ",15),"IN      PTR     ",'NIDS DNS table'!$B$108,".")</f>
        <v>13               IN      PTR     oms-bMAIN-STAIN.name.cisco.com.</v>
      </c>
    </row>
    <row r="134" ht="13.5">
      <c r="A134" s="93" t="str">
        <f>CONCATENATE(RIGHT('NIDS DNS table'!$C$112,LEN('NIDS DNS table'!$C$112)-FIND(".",'NIDS DNS table'!$C$112,FIND(".",'NIDS DNS table'!$C$112,FIND(".",'NIDS DNS table'!$C$112)+1)+1)),REPT(" ",15),"IN      PTR     ",'NIDS DNS table'!$B$112,".")</f>
        <v>13               IN      PTR     oms-bMAIN-STPTC.name.cisco.com.</v>
      </c>
    </row>
    <row r="135" ht="13.5">
      <c r="A135" s="93"/>
    </row>
    <row r="136" ht="13.5">
      <c r="A136" s="93" t="str">
        <f>CONCATENATE("$ORIGIN ",MID('NIDS DNS table'!$C$33,FIND(".",'NIDS DNS table'!$C$33,FIND(".",'NIDS DNS table'!$C$33)+1)+1,FIND(".",'NIDS DNS table'!$C$33,FIND(".",'NIDS DNS table'!$C$33,FIND(".",'NIDS DNS table'!$C$33)+1)+1)-FIND(".",'NIDS DNS table'!$C$33,FIND(".",'NIDS DNS table'!$C$33)+1)),MID('NIDS DNS table'!$C$33,FIND(".",'NIDS DNS table'!$C$33)+1,FIND(".",'NIDS DNS table'!$C$33,FIND(".",'NIDS DNS table'!$C$33)+1)-FIND(".",'NIDS DNS table'!$C$33)),LEFT('NIDS DNS table'!$C$33,FIND(".",'NIDS DNS table'!$C$33)),"in-addr.arpa.")</f>
        <v>$ORIGIN 123.10.10.in-addr.arpa.</v>
      </c>
    </row>
    <row r="137" ht="13.5">
      <c r="A137" s="93" t="str">
        <f>CONCATENATE(RIGHT('NIDS DNS table'!$C$33,LEN('NIDS DNS table'!$C$33)-FIND(".",'NIDS DNS table'!$C$33,FIND(".",'NIDS DNS table'!$C$33,FIND(".",'NIDS DNS table'!$C$33)+1)+1)),REPT(" ",15),"IN      PTR     ",'NIDS DNS table'!$B$32,".")</f>
        <v>10               IN      PTR     red-aMAIN-STEMS.name.cisco.com.</v>
      </c>
    </row>
    <row r="138" ht="13.5">
      <c r="A138" s="93" t="str">
        <f>CONCATENATE(RIGHT('NIDS DNS table'!$C$37,LEN('NIDS DNS table'!$C$37)-FIND(".",'NIDS DNS table'!$C$37,FIND(".",'NIDS DNS table'!$C$37,FIND(".",'NIDS DNS table'!$C$37)+1)+1)),REPT(" ",15),"IN      PTR     ",'NIDS DNS table'!$B$36,".")</f>
        <v>10               IN      PTR     blg-aMAIN-STEMS.name.cisco.com.</v>
      </c>
    </row>
    <row r="139" ht="13.5">
      <c r="A139" s="93" t="str">
        <f>CONCATENATE(RIGHT('NIDS DNS table'!$C$115,LEN('NIDS DNS table'!$C$115)-FIND(".",'NIDS DNS table'!$C$115,FIND(".",'NIDS DNS table'!$C$115,FIND(".",'NIDS DNS table'!$C$115)+1)+1)),REPT(" ",15),"IN      PTR     ",'NIDS DNS table'!$B$114,".")</f>
        <v>10               IN      PTR     oms-aMAIN-STEMS.name.cisco.com.</v>
      </c>
    </row>
    <row r="140" ht="13.5">
      <c r="A140" s="93" t="str">
        <f>CONCATENATE(RIGHT('NIDS DNS table'!$C$119,LEN('NIDS DNS table'!$C$119)-FIND(".",'NIDS DNS table'!$C$119,FIND(".",'NIDS DNS table'!$C$119,FIND(".",'NIDS DNS table'!$C$119)+1)+1)),REPT(" ",15),"IN      PTR     ",'NIDS DNS table'!$B$118,".")</f>
        <v>10               IN      PTR     mdii-aMAIN-STEMS.name.cisco.com.</v>
      </c>
    </row>
    <row r="141" ht="13.5">
      <c r="A141" s="93" t="str">
        <f>CONCATENATE(RIGHT('NIDS DNS table'!$C$35,LEN('NIDS DNS table'!$C$35)-FIND(".",'NIDS DNS table'!$C$35,FIND(".",'NIDS DNS table'!$C$35,FIND(".",'NIDS DNS table'!$C$35)+1)+1)),REPT(" ",15),"IN      PTR     ",'NIDS DNS table'!$B$34,".")</f>
        <v>11               IN      PTR     red-bMAIN-STEMS.name.cisco.com.</v>
      </c>
    </row>
    <row r="142" ht="13.5">
      <c r="A142" s="93" t="str">
        <f>CONCATENATE(RIGHT('NIDS DNS table'!$C$39,LEN('NIDS DNS table'!$C$39)-FIND(".",'NIDS DNS table'!$C$39,FIND(".",'NIDS DNS table'!$C$39,FIND(".",'NIDS DNS table'!$C$39)+1)+1)),REPT(" ",15),"IN      PTR     ",'NIDS DNS table'!$B$38,".")</f>
        <v>11               IN      PTR     blg-bMAIN-STEMS.name.cisco.com.</v>
      </c>
    </row>
    <row r="143" ht="13.5">
      <c r="A143" s="93" t="str">
        <f>CONCATENATE(RIGHT('NIDS DNS table'!$C$117,LEN('NIDS DNS table'!$C$117)-FIND(".",'NIDS DNS table'!$C$117,FIND(".",'NIDS DNS table'!$C$117,FIND(".",'NIDS DNS table'!$C$117)+1)+1)),REPT(" ",15),"IN      PTR     ",'NIDS DNS table'!$B$116,".")</f>
        <v>11               IN      PTR     oms-bMAIN-STEMS.name.cisco.com.</v>
      </c>
    </row>
    <row r="144" ht="13.5">
      <c r="A144" s="93" t="str">
        <f>CONCATENATE(RIGHT('NIDS DNS table'!$C$121,LEN('NIDS DNS table'!$C$121)-FIND(".",'NIDS DNS table'!$C$121,FIND(".",'NIDS DNS table'!$C$121,FIND(".",'NIDS DNS table'!$C$121)+1)+1)),REPT(" ",15),"IN      PTR     ",'NIDS DNS table'!$B$120,".")</f>
        <v>11               IN      PTR     mdii-bMAIN-STEMS.name.cisco.com.</v>
      </c>
    </row>
    <row r="145" ht="13.5">
      <c r="A145" s="93" t="str">
        <f>CONCATENATE(RIGHT('NIDS DNS table'!$C$41,LEN('NIDS DNS table'!$C$41)-FIND(".",'NIDS DNS table'!$C$41,FIND(".",'NIDS DNS table'!$C$41,FIND(".",'NIDS DNS table'!$C$41)+1)+1)),REPT(" ",15),"IN      PTR     ",'NIDS DNS table'!$B$40,".")</f>
        <v>12               IN      PTR     blg-aMAIN-STCA.name.cisco.com.</v>
      </c>
    </row>
    <row r="146" ht="13.5">
      <c r="A146" s="93" t="str">
        <f>CONCATENATE(RIGHT('NIDS DNS table'!$C$103,LEN('NIDS DNS table'!$C$103)-FIND(".",'NIDS DNS table'!$C$103,FIND(".",'NIDS DNS table'!$C$103,FIND(".",'NIDS DNS table'!$C$103)+1)+1)),REPT(" ",15),"IN      PTR     ",'NIDS DNS table'!$B$102,".")</f>
        <v>12               IN      PTR     oms-aMAIN-STCA.name.cisco.com.</v>
      </c>
    </row>
    <row r="147" ht="13.5">
      <c r="A147" s="93" t="str">
        <f>CONCATENATE(RIGHT('NIDS DNS table'!$C$107,LEN('NIDS DNS table'!$C$107)-FIND(".",'NIDS DNS table'!$C$107,FIND(".",'NIDS DNS table'!$C$107,FIND(".",'NIDS DNS table'!$C$107)+1)+1)),REPT(" ",15),"IN      PTR     ",'NIDS DNS table'!$B$106,".")</f>
        <v>12               IN      PTR     oms-aMAIN-STAIN.name.cisco.com.</v>
      </c>
    </row>
    <row r="148" ht="13.5">
      <c r="A148" s="93" t="str">
        <f>CONCATENATE(RIGHT('NIDS DNS table'!$C$111,LEN('NIDS DNS table'!$C$111)-FIND(".",'NIDS DNS table'!$C$111,FIND(".",'NIDS DNS table'!$C$111,FIND(".",'NIDS DNS table'!$C$111)+1)+1)),REPT(" ",15),"IN      PTR     ",'NIDS DNS table'!$B$110,".")</f>
        <v>12               IN      PTR     oms-aMAIN-STPTC.name.cisco.com.</v>
      </c>
    </row>
    <row r="149" ht="13.5">
      <c r="A149" s="93" t="str">
        <f>CONCATENATE(RIGHT('NIDS DNS table'!$C$43,LEN('NIDS DNS table'!$C$43)-FIND(".",'NIDS DNS table'!$C$43,FIND(".",'NIDS DNS table'!$C$43,FIND(".",'NIDS DNS table'!$C$43)+1)+1)),REPT(" ",15),"IN      PTR     ",'NIDS DNS table'!$B$42,".")</f>
        <v>13               IN      PTR     blg-bMAIN-STCA.name.cisco.com.</v>
      </c>
    </row>
    <row r="150" ht="13.5">
      <c r="A150" s="93" t="str">
        <f>CONCATENATE(RIGHT('NIDS DNS table'!$C$105,LEN('NIDS DNS table'!$C$105)-FIND(".",'NIDS DNS table'!$C$105,FIND(".",'NIDS DNS table'!$C$105,FIND(".",'NIDS DNS table'!$C$105)+1)+1)),REPT(" ",15),"IN      PTR     ",'NIDS DNS table'!$B$104,".")</f>
        <v>13               IN      PTR     oms-bMAIN-STCA.name.cisco.com.</v>
      </c>
    </row>
    <row r="151" ht="13.5">
      <c r="A151" s="93" t="str">
        <f>CONCATENATE(RIGHT('NIDS DNS table'!$C$109,LEN('NIDS DNS table'!$C$109)-FIND(".",'NIDS DNS table'!$C$109,FIND(".",'NIDS DNS table'!$C$109,FIND(".",'NIDS DNS table'!$C$109)+1)+1)),REPT(" ",15),"IN      PTR     ",'NIDS DNS table'!$B$108,".")</f>
        <v>13               IN      PTR     oms-bMAIN-STAIN.name.cisco.com.</v>
      </c>
    </row>
    <row r="152" ht="13.5">
      <c r="A152" s="93" t="str">
        <f>CONCATENATE(RIGHT('NIDS DNS table'!$C$113,LEN('NIDS DNS table'!$C$113)-FIND(".",'NIDS DNS table'!$C$113,FIND(".",'NIDS DNS table'!$C$113,FIND(".",'NIDS DNS table'!$C$113)+1)+1)),REPT(" ",15),"IN      PTR     ",'NIDS DNS table'!$B$112,".")</f>
        <v>13               IN      PTR     oms-bMAIN-STPTC.name.cisco.com.</v>
      </c>
    </row>
    <row r="153" ht="13.5">
      <c r="A153" s="93"/>
    </row>
    <row r="154" ht="13.5">
      <c r="A154" s="93" t="str">
        <f>CONCATENATE("$ORIGIN ",MID('NIDS DNS table'!$C$62,FIND(".",'NIDS DNS table'!$C$62,FIND(".",'NIDS DNS table'!$C$62)+1)+1,FIND(".",'NIDS DNS table'!$C$62,FIND(".",'NIDS DNS table'!$C$62,FIND(".",'NIDS DNS table'!$C$62)+1)+1)-FIND(".",'NIDS DNS table'!$C$62,FIND(".",'NIDS DNS table'!$C$62)+1)),MID('NIDS DNS table'!$C$62,FIND(".",'NIDS DNS table'!$C$62)+1,FIND(".",'NIDS DNS table'!$C$62,FIND(".",'NIDS DNS table'!$C$62)+1)-FIND(".",'NIDS DNS table'!$C$62)),LEFT('NIDS DNS table'!$C$62,FIND(".",'NIDS DNS table'!$C$62)),"in-addr.arpa.")</f>
        <v>$ORIGIN 124.10.10.in-addr.arpa.</v>
      </c>
    </row>
    <row r="155" ht="13.5">
      <c r="A155" s="93" t="str">
        <f>CONCATENATE(RIGHT('NIDS DNS table'!$C$62,LEN('NIDS DNS table'!$C$62)-FIND(".",'NIDS DNS table'!$C$62,FIND(".",'NIDS DNS table'!$C$62,FIND(".",'NIDS DNS table'!$C$62)+1)+1)),REPT(" ",15),"IN      PTR     ",'NIDS DNS table'!$B$62,".")</f>
        <v>146               IN      PTR     sim-MAIN-STCA146.name.cisco.com.</v>
      </c>
    </row>
    <row r="156" ht="13.5">
      <c r="A156" s="93" t="str">
        <f>CONCATENATE(RIGHT('NIDS DNS table'!$C$76,LEN('NIDS DNS table'!$C$76)-FIND(".",'NIDS DNS table'!$C$76,FIND(".",'NIDS DNS table'!$C$76,FIND(".",'NIDS DNS table'!$C$76)+1)+1)),REPT(" ",15),"IN      PTR     ",'NIDS DNS table'!$B$76,".")</f>
        <v>205               IN      PTR     asm-MAIN-STAIN205.name.cisco.com.</v>
      </c>
    </row>
    <row r="157" ht="13.5">
      <c r="A157" s="93" t="str">
        <f>CONCATENATE(RIGHT('NIDS DNS table'!$C$86,LEN('NIDS DNS table'!$C$86)-FIND(".",'NIDS DNS table'!$C$86,FIND(".",'NIDS DNS table'!$C$86,FIND(".",'NIDS DNS table'!$C$86)+1)+1)),REPT(" ",15),"IN      PTR     ",'NIDS DNS table'!$B$86,".")</f>
        <v>235               IN      PTR     pots-MAIN-STPTC235.name.cisco.com.</v>
      </c>
    </row>
    <row r="158" ht="13.5">
      <c r="A158" s="93"/>
    </row>
    <row r="159" ht="13.5">
      <c r="A159" s="93" t="str">
        <f>CONCATENATE("$ORIGIN ",MID('NIDS DNS table'!$C$63,FIND(".",'NIDS DNS table'!$C$63,FIND(".",'NIDS DNS table'!$C$63)+1)+1,FIND(".",'NIDS DNS table'!$C$63,FIND(".",'NIDS DNS table'!$C$63,FIND(".",'NIDS DNS table'!$C$63)+1)+1)-FIND(".",'NIDS DNS table'!$C$63,FIND(".",'NIDS DNS table'!$C$63)+1)),MID('NIDS DNS table'!$C$63,FIND(".",'NIDS DNS table'!$C$63)+1,FIND(".",'NIDS DNS table'!$C$63,FIND(".",'NIDS DNS table'!$C$63)+1)-FIND(".",'NIDS DNS table'!$C$63)),LEFT('NIDS DNS table'!$C$63,FIND(".",'NIDS DNS table'!$C$63)),"in-addr.arpa.")</f>
        <v>$ORIGIN 125.10.10.in-addr.arpa.</v>
      </c>
    </row>
    <row r="160" ht="13.5">
      <c r="A160" s="93" t="str">
        <f>CONCATENATE(RIGHT('NIDS DNS table'!$C$63,LEN('NIDS DNS table'!$C$63)-FIND(".",'NIDS DNS table'!$C$63,FIND(".",'NIDS DNS table'!$C$63,FIND(".",'NIDS DNS table'!$C$63)+1)+1)),REPT(" ",15),"IN      PTR     ",'NIDS DNS table'!$B$62,".")</f>
        <v>146               IN      PTR     sim-MAIN-STCA146.name.cisco.com.</v>
      </c>
    </row>
    <row r="161" ht="13.5">
      <c r="A161" s="93" t="str">
        <f>CONCATENATE(RIGHT('NIDS DNS table'!$C$77,LEN('NIDS DNS table'!$C$77)-FIND(".",'NIDS DNS table'!$C$77,FIND(".",'NIDS DNS table'!$C$77,FIND(".",'NIDS DNS table'!$C$77)+1)+1)),REPT(" ",15),"IN      PTR     ",'NIDS DNS table'!$B$76,".")</f>
        <v>205               IN      PTR     asm-MAIN-STAIN205.name.cisco.com.</v>
      </c>
    </row>
    <row r="162" ht="13.5">
      <c r="A162" s="93" t="str">
        <f>CONCATENATE(RIGHT('NIDS DNS table'!$C$87,LEN('NIDS DNS table'!$C$87)-FIND(".",'NIDS DNS table'!$C$87,FIND(".",'NIDS DNS table'!$C$87,FIND(".",'NIDS DNS table'!$C$87)+1)+1)),REPT(" ",15),"IN      PTR     ",'NIDS DNS table'!$B$86,".")</f>
        <v>235               IN      PTR     pots-MAIN-STPTC235.name.cisco.com.</v>
      </c>
    </row>
    <row r="163" ht="13.5">
      <c r="A163" s="96"/>
    </row>
  </sheetData>
  <sheetProtection sheet="1" objects="1" scenarios="1"/>
  <printOptions/>
  <pageMargins left="0.75" right="0.75" top="0.38" bottom="0.42" header="0.23" footer="0.17"/>
  <pageSetup horizontalDpi="600" verticalDpi="600" orientation="portrait" r:id="rId1"/>
  <headerFooter alignWithMargins="0">
    <oddFooter>&amp;LCisco Systems, Inc. Confidential&amp;C&amp;A&amp;R&amp;D   Page &amp;P of &amp;N</oddFooter>
  </headerFooter>
</worksheet>
</file>

<file path=xl/worksheets/sheet11.xml><?xml version="1.0" encoding="utf-8"?>
<worksheet xmlns="http://schemas.openxmlformats.org/spreadsheetml/2006/main" xmlns:r="http://schemas.openxmlformats.org/officeDocument/2006/relationships">
  <dimension ref="A2:IV36"/>
  <sheetViews>
    <sheetView workbookViewId="0" topLeftCell="A14">
      <selection activeCell="D33" sqref="D33"/>
    </sheetView>
  </sheetViews>
  <sheetFormatPr defaultColWidth="9.140625" defaultRowHeight="12.75"/>
  <cols>
    <col min="1" max="1" width="9.140625" style="24" customWidth="1"/>
    <col min="2" max="2" width="9.140625" style="20" customWidth="1"/>
    <col min="3" max="3" width="17.8515625" style="20" customWidth="1"/>
    <col min="4" max="4" width="83.140625" style="21" customWidth="1"/>
    <col min="5" max="16384" width="9.140625" style="1" customWidth="1"/>
  </cols>
  <sheetData>
    <row r="2" spans="1:6" ht="15">
      <c r="A2" s="201" t="s">
        <v>718</v>
      </c>
      <c r="B2" s="201"/>
      <c r="C2" s="201"/>
      <c r="D2" s="125" t="str">
        <f>B8</f>
        <v>Rev 1</v>
      </c>
      <c r="E2" s="126"/>
      <c r="F2" s="126"/>
    </row>
    <row r="4" spans="1:4" ht="15.75">
      <c r="A4" s="127" t="s">
        <v>719</v>
      </c>
      <c r="B4" s="128"/>
      <c r="C4" s="128"/>
      <c r="D4" s="129"/>
    </row>
    <row r="5" spans="1:4" ht="11.25">
      <c r="A5" s="23"/>
      <c r="B5" s="18"/>
      <c r="C5" s="18"/>
      <c r="D5" s="19"/>
    </row>
    <row r="6" spans="1:4" ht="11.25">
      <c r="A6" s="23" t="s">
        <v>368</v>
      </c>
      <c r="B6" s="18" t="s">
        <v>369</v>
      </c>
      <c r="C6" s="18" t="s">
        <v>127</v>
      </c>
      <c r="D6" s="19" t="s">
        <v>370</v>
      </c>
    </row>
    <row r="7" spans="1:4" ht="11.25">
      <c r="A7" s="23"/>
      <c r="B7" s="18"/>
      <c r="C7" s="18"/>
      <c r="D7" s="19"/>
    </row>
    <row r="8" spans="1:256" ht="11.25">
      <c r="A8" s="24">
        <v>38461</v>
      </c>
      <c r="B8" s="20" t="s">
        <v>113</v>
      </c>
      <c r="D8" s="21" t="s">
        <v>720</v>
      </c>
      <c r="E8" s="24"/>
      <c r="F8" s="20"/>
      <c r="G8" s="20"/>
      <c r="H8" s="21"/>
      <c r="I8" s="24"/>
      <c r="J8" s="20"/>
      <c r="K8" s="20"/>
      <c r="L8" s="21"/>
      <c r="M8" s="24"/>
      <c r="N8" s="20"/>
      <c r="O8" s="20"/>
      <c r="P8" s="21"/>
      <c r="Q8" s="24"/>
      <c r="R8" s="20"/>
      <c r="S8" s="20"/>
      <c r="T8" s="21"/>
      <c r="U8" s="24"/>
      <c r="V8" s="20"/>
      <c r="W8" s="20"/>
      <c r="X8" s="21"/>
      <c r="Y8" s="24"/>
      <c r="Z8" s="20"/>
      <c r="AA8" s="20"/>
      <c r="AB8" s="21"/>
      <c r="AC8" s="24"/>
      <c r="AD8" s="20"/>
      <c r="AE8" s="20"/>
      <c r="AF8" s="21"/>
      <c r="AG8" s="24"/>
      <c r="AH8" s="20"/>
      <c r="AI8" s="20"/>
      <c r="AJ8" s="21"/>
      <c r="AK8" s="24"/>
      <c r="AL8" s="20"/>
      <c r="AM8" s="20"/>
      <c r="AN8" s="21"/>
      <c r="AO8" s="24"/>
      <c r="AP8" s="20"/>
      <c r="AQ8" s="20"/>
      <c r="AR8" s="21"/>
      <c r="AS8" s="24"/>
      <c r="AT8" s="20"/>
      <c r="AU8" s="20"/>
      <c r="AV8" s="21"/>
      <c r="AW8" s="24"/>
      <c r="AX8" s="20"/>
      <c r="AY8" s="20"/>
      <c r="AZ8" s="21"/>
      <c r="BA8" s="24"/>
      <c r="BB8" s="20"/>
      <c r="BC8" s="20"/>
      <c r="BD8" s="21"/>
      <c r="BE8" s="24"/>
      <c r="BF8" s="20"/>
      <c r="BG8" s="20"/>
      <c r="BH8" s="21"/>
      <c r="BI8" s="24"/>
      <c r="BJ8" s="20"/>
      <c r="BK8" s="20"/>
      <c r="BL8" s="21"/>
      <c r="BM8" s="24"/>
      <c r="BN8" s="20"/>
      <c r="BO8" s="20"/>
      <c r="BP8" s="21"/>
      <c r="BQ8" s="24"/>
      <c r="BR8" s="20"/>
      <c r="BS8" s="20"/>
      <c r="BT8" s="21"/>
      <c r="BU8" s="24"/>
      <c r="BV8" s="20"/>
      <c r="BW8" s="20"/>
      <c r="BX8" s="21"/>
      <c r="BY8" s="24"/>
      <c r="BZ8" s="20"/>
      <c r="CA8" s="20"/>
      <c r="CB8" s="21"/>
      <c r="CC8" s="24"/>
      <c r="CD8" s="20"/>
      <c r="CE8" s="20"/>
      <c r="CF8" s="21"/>
      <c r="CG8" s="24"/>
      <c r="CH8" s="20"/>
      <c r="CI8" s="20"/>
      <c r="CJ8" s="21"/>
      <c r="CK8" s="24"/>
      <c r="CL8" s="20"/>
      <c r="CM8" s="20"/>
      <c r="CN8" s="21"/>
      <c r="CO8" s="24"/>
      <c r="CP8" s="20"/>
      <c r="CQ8" s="20"/>
      <c r="CR8" s="21"/>
      <c r="CS8" s="24"/>
      <c r="CT8" s="20"/>
      <c r="CU8" s="20"/>
      <c r="CV8" s="21"/>
      <c r="CW8" s="24"/>
      <c r="CX8" s="20"/>
      <c r="CY8" s="20"/>
      <c r="CZ8" s="21"/>
      <c r="DA8" s="24"/>
      <c r="DB8" s="20"/>
      <c r="DC8" s="20"/>
      <c r="DD8" s="21"/>
      <c r="DE8" s="24"/>
      <c r="DF8" s="20"/>
      <c r="DG8" s="20"/>
      <c r="DH8" s="21"/>
      <c r="DI8" s="24"/>
      <c r="DJ8" s="20"/>
      <c r="DK8" s="20"/>
      <c r="DL8" s="21"/>
      <c r="DM8" s="24"/>
      <c r="DN8" s="20"/>
      <c r="DO8" s="20"/>
      <c r="DP8" s="21"/>
      <c r="DQ8" s="24"/>
      <c r="DR8" s="20"/>
      <c r="DS8" s="20"/>
      <c r="DT8" s="21"/>
      <c r="DU8" s="24"/>
      <c r="DV8" s="20"/>
      <c r="DW8" s="20"/>
      <c r="DX8" s="21"/>
      <c r="DY8" s="24"/>
      <c r="DZ8" s="20"/>
      <c r="EA8" s="20"/>
      <c r="EB8" s="21"/>
      <c r="EC8" s="24"/>
      <c r="ED8" s="20"/>
      <c r="EE8" s="20"/>
      <c r="EF8" s="21"/>
      <c r="EG8" s="24"/>
      <c r="EH8" s="20"/>
      <c r="EI8" s="20"/>
      <c r="EJ8" s="21"/>
      <c r="EK8" s="24"/>
      <c r="EL8" s="20"/>
      <c r="EM8" s="20"/>
      <c r="EN8" s="21"/>
      <c r="EO8" s="24"/>
      <c r="EP8" s="20"/>
      <c r="EQ8" s="20"/>
      <c r="ER8" s="21"/>
      <c r="ES8" s="24"/>
      <c r="ET8" s="20"/>
      <c r="EU8" s="20"/>
      <c r="EV8" s="21"/>
      <c r="EW8" s="24"/>
      <c r="EX8" s="20"/>
      <c r="EY8" s="20"/>
      <c r="EZ8" s="21"/>
      <c r="FA8" s="24"/>
      <c r="FB8" s="20"/>
      <c r="FC8" s="20"/>
      <c r="FD8" s="21"/>
      <c r="FE8" s="24"/>
      <c r="FF8" s="20"/>
      <c r="FG8" s="20"/>
      <c r="FH8" s="21"/>
      <c r="FI8" s="24"/>
      <c r="FJ8" s="20"/>
      <c r="FK8" s="20"/>
      <c r="FL8" s="21"/>
      <c r="FM8" s="24"/>
      <c r="FN8" s="20"/>
      <c r="FO8" s="20"/>
      <c r="FP8" s="21"/>
      <c r="FQ8" s="24"/>
      <c r="FR8" s="20"/>
      <c r="FS8" s="20"/>
      <c r="FT8" s="21"/>
      <c r="FU8" s="24"/>
      <c r="FV8" s="20"/>
      <c r="FW8" s="20"/>
      <c r="FX8" s="21"/>
      <c r="FY8" s="24"/>
      <c r="FZ8" s="20"/>
      <c r="GA8" s="20"/>
      <c r="GB8" s="21"/>
      <c r="GC8" s="24"/>
      <c r="GD8" s="20"/>
      <c r="GE8" s="20"/>
      <c r="GF8" s="21"/>
      <c r="GG8" s="24"/>
      <c r="GH8" s="20"/>
      <c r="GI8" s="20"/>
      <c r="GJ8" s="21"/>
      <c r="GK8" s="24"/>
      <c r="GL8" s="20"/>
      <c r="GM8" s="20"/>
      <c r="GN8" s="21"/>
      <c r="GO8" s="24"/>
      <c r="GP8" s="20"/>
      <c r="GQ8" s="20"/>
      <c r="GR8" s="21"/>
      <c r="GS8" s="24"/>
      <c r="GT8" s="20"/>
      <c r="GU8" s="20"/>
      <c r="GV8" s="21"/>
      <c r="GW8" s="24"/>
      <c r="GX8" s="20"/>
      <c r="GY8" s="20"/>
      <c r="GZ8" s="21"/>
      <c r="HA8" s="24"/>
      <c r="HB8" s="20"/>
      <c r="HC8" s="20"/>
      <c r="HD8" s="21"/>
      <c r="HE8" s="24"/>
      <c r="HF8" s="20"/>
      <c r="HG8" s="20"/>
      <c r="HH8" s="21"/>
      <c r="HI8" s="24"/>
      <c r="HJ8" s="20"/>
      <c r="HK8" s="20"/>
      <c r="HL8" s="21"/>
      <c r="HM8" s="24"/>
      <c r="HN8" s="20"/>
      <c r="HO8" s="20"/>
      <c r="HP8" s="21"/>
      <c r="HQ8" s="24"/>
      <c r="HR8" s="20"/>
      <c r="HS8" s="20"/>
      <c r="HT8" s="21"/>
      <c r="HU8" s="24"/>
      <c r="HV8" s="20"/>
      <c r="HW8" s="20"/>
      <c r="HX8" s="21"/>
      <c r="HY8" s="24"/>
      <c r="HZ8" s="20"/>
      <c r="IA8" s="20"/>
      <c r="IB8" s="21"/>
      <c r="IC8" s="24"/>
      <c r="ID8" s="20"/>
      <c r="IE8" s="20"/>
      <c r="IF8" s="21"/>
      <c r="IG8" s="24"/>
      <c r="IH8" s="20"/>
      <c r="II8" s="20"/>
      <c r="IJ8" s="21"/>
      <c r="IK8" s="24"/>
      <c r="IL8" s="20"/>
      <c r="IM8" s="20"/>
      <c r="IN8" s="21"/>
      <c r="IO8" s="24"/>
      <c r="IP8" s="20"/>
      <c r="IQ8" s="20"/>
      <c r="IR8" s="21"/>
      <c r="IS8" s="24"/>
      <c r="IT8" s="20"/>
      <c r="IU8" s="20"/>
      <c r="IV8" s="21"/>
    </row>
    <row r="9" spans="1:256" ht="11.25">
      <c r="A9" s="24">
        <v>38554</v>
      </c>
      <c r="B9" s="20" t="s">
        <v>114</v>
      </c>
      <c r="D9" s="21" t="s">
        <v>740</v>
      </c>
      <c r="E9" s="24"/>
      <c r="F9" s="20"/>
      <c r="G9" s="20"/>
      <c r="H9" s="21"/>
      <c r="I9" s="24"/>
      <c r="J9" s="20"/>
      <c r="K9" s="20"/>
      <c r="L9" s="21"/>
      <c r="M9" s="24"/>
      <c r="N9" s="20"/>
      <c r="O9" s="20"/>
      <c r="P9" s="21"/>
      <c r="Q9" s="24"/>
      <c r="R9" s="20"/>
      <c r="S9" s="20"/>
      <c r="T9" s="21"/>
      <c r="U9" s="24"/>
      <c r="V9" s="20"/>
      <c r="W9" s="20"/>
      <c r="X9" s="21"/>
      <c r="Y9" s="24"/>
      <c r="Z9" s="20"/>
      <c r="AA9" s="20"/>
      <c r="AB9" s="21"/>
      <c r="AC9" s="24"/>
      <c r="AD9" s="20"/>
      <c r="AE9" s="20"/>
      <c r="AF9" s="21"/>
      <c r="AG9" s="24"/>
      <c r="AH9" s="20"/>
      <c r="AI9" s="20"/>
      <c r="AJ9" s="21"/>
      <c r="AK9" s="24"/>
      <c r="AL9" s="20"/>
      <c r="AM9" s="20"/>
      <c r="AN9" s="21"/>
      <c r="AO9" s="24"/>
      <c r="AP9" s="20"/>
      <c r="AQ9" s="20"/>
      <c r="AR9" s="21"/>
      <c r="AS9" s="24"/>
      <c r="AT9" s="20"/>
      <c r="AU9" s="20"/>
      <c r="AV9" s="21"/>
      <c r="AW9" s="24"/>
      <c r="AX9" s="20"/>
      <c r="AY9" s="20"/>
      <c r="AZ9" s="21"/>
      <c r="BA9" s="24"/>
      <c r="BB9" s="20"/>
      <c r="BC9" s="20"/>
      <c r="BD9" s="21"/>
      <c r="BE9" s="24"/>
      <c r="BF9" s="20"/>
      <c r="BG9" s="20"/>
      <c r="BH9" s="21"/>
      <c r="BI9" s="24"/>
      <c r="BJ9" s="20"/>
      <c r="BK9" s="20"/>
      <c r="BL9" s="21"/>
      <c r="BM9" s="24"/>
      <c r="BN9" s="20"/>
      <c r="BO9" s="20"/>
      <c r="BP9" s="21"/>
      <c r="BQ9" s="24"/>
      <c r="BR9" s="20"/>
      <c r="BS9" s="20"/>
      <c r="BT9" s="21"/>
      <c r="BU9" s="24"/>
      <c r="BV9" s="20"/>
      <c r="BW9" s="20"/>
      <c r="BX9" s="21"/>
      <c r="BY9" s="24"/>
      <c r="BZ9" s="20"/>
      <c r="CA9" s="20"/>
      <c r="CB9" s="21"/>
      <c r="CC9" s="24"/>
      <c r="CD9" s="20"/>
      <c r="CE9" s="20"/>
      <c r="CF9" s="21"/>
      <c r="CG9" s="24"/>
      <c r="CH9" s="20"/>
      <c r="CI9" s="20"/>
      <c r="CJ9" s="21"/>
      <c r="CK9" s="24"/>
      <c r="CL9" s="20"/>
      <c r="CM9" s="20"/>
      <c r="CN9" s="21"/>
      <c r="CO9" s="24"/>
      <c r="CP9" s="20"/>
      <c r="CQ9" s="20"/>
      <c r="CR9" s="21"/>
      <c r="CS9" s="24"/>
      <c r="CT9" s="20"/>
      <c r="CU9" s="20"/>
      <c r="CV9" s="21"/>
      <c r="CW9" s="24"/>
      <c r="CX9" s="20"/>
      <c r="CY9" s="20"/>
      <c r="CZ9" s="21"/>
      <c r="DA9" s="24"/>
      <c r="DB9" s="20"/>
      <c r="DC9" s="20"/>
      <c r="DD9" s="21"/>
      <c r="DE9" s="24"/>
      <c r="DF9" s="20"/>
      <c r="DG9" s="20"/>
      <c r="DH9" s="21"/>
      <c r="DI9" s="24"/>
      <c r="DJ9" s="20"/>
      <c r="DK9" s="20"/>
      <c r="DL9" s="21"/>
      <c r="DM9" s="24"/>
      <c r="DN9" s="20"/>
      <c r="DO9" s="20"/>
      <c r="DP9" s="21"/>
      <c r="DQ9" s="24"/>
      <c r="DR9" s="20"/>
      <c r="DS9" s="20"/>
      <c r="DT9" s="21"/>
      <c r="DU9" s="24"/>
      <c r="DV9" s="20"/>
      <c r="DW9" s="20"/>
      <c r="DX9" s="21"/>
      <c r="DY9" s="24"/>
      <c r="DZ9" s="20"/>
      <c r="EA9" s="20"/>
      <c r="EB9" s="21"/>
      <c r="EC9" s="24"/>
      <c r="ED9" s="20"/>
      <c r="EE9" s="20"/>
      <c r="EF9" s="21"/>
      <c r="EG9" s="24"/>
      <c r="EH9" s="20"/>
      <c r="EI9" s="20"/>
      <c r="EJ9" s="21"/>
      <c r="EK9" s="24"/>
      <c r="EL9" s="20"/>
      <c r="EM9" s="20"/>
      <c r="EN9" s="21"/>
      <c r="EO9" s="24"/>
      <c r="EP9" s="20"/>
      <c r="EQ9" s="20"/>
      <c r="ER9" s="21"/>
      <c r="ES9" s="24"/>
      <c r="ET9" s="20"/>
      <c r="EU9" s="20"/>
      <c r="EV9" s="21"/>
      <c r="EW9" s="24"/>
      <c r="EX9" s="20"/>
      <c r="EY9" s="20"/>
      <c r="EZ9" s="21"/>
      <c r="FA9" s="24"/>
      <c r="FB9" s="20"/>
      <c r="FC9" s="20"/>
      <c r="FD9" s="21"/>
      <c r="FE9" s="24"/>
      <c r="FF9" s="20"/>
      <c r="FG9" s="20"/>
      <c r="FH9" s="21"/>
      <c r="FI9" s="24"/>
      <c r="FJ9" s="20"/>
      <c r="FK9" s="20"/>
      <c r="FL9" s="21"/>
      <c r="FM9" s="24"/>
      <c r="FN9" s="20"/>
      <c r="FO9" s="20"/>
      <c r="FP9" s="21"/>
      <c r="FQ9" s="24"/>
      <c r="FR9" s="20"/>
      <c r="FS9" s="20"/>
      <c r="FT9" s="21"/>
      <c r="FU9" s="24"/>
      <c r="FV9" s="20"/>
      <c r="FW9" s="20"/>
      <c r="FX9" s="21"/>
      <c r="FY9" s="24"/>
      <c r="FZ9" s="20"/>
      <c r="GA9" s="20"/>
      <c r="GB9" s="21"/>
      <c r="GC9" s="24"/>
      <c r="GD9" s="20"/>
      <c r="GE9" s="20"/>
      <c r="GF9" s="21"/>
      <c r="GG9" s="24"/>
      <c r="GH9" s="20"/>
      <c r="GI9" s="20"/>
      <c r="GJ9" s="21"/>
      <c r="GK9" s="24"/>
      <c r="GL9" s="20"/>
      <c r="GM9" s="20"/>
      <c r="GN9" s="21"/>
      <c r="GO9" s="24"/>
      <c r="GP9" s="20"/>
      <c r="GQ9" s="20"/>
      <c r="GR9" s="21"/>
      <c r="GS9" s="24"/>
      <c r="GT9" s="20"/>
      <c r="GU9" s="20"/>
      <c r="GV9" s="21"/>
      <c r="GW9" s="24"/>
      <c r="GX9" s="20"/>
      <c r="GY9" s="20"/>
      <c r="GZ9" s="21"/>
      <c r="HA9" s="24"/>
      <c r="HB9" s="20"/>
      <c r="HC9" s="20"/>
      <c r="HD9" s="21"/>
      <c r="HE9" s="24"/>
      <c r="HF9" s="20"/>
      <c r="HG9" s="20"/>
      <c r="HH9" s="21"/>
      <c r="HI9" s="24"/>
      <c r="HJ9" s="20"/>
      <c r="HK9" s="20"/>
      <c r="HL9" s="21"/>
      <c r="HM9" s="24"/>
      <c r="HN9" s="20"/>
      <c r="HO9" s="20"/>
      <c r="HP9" s="21"/>
      <c r="HQ9" s="24"/>
      <c r="HR9" s="20"/>
      <c r="HS9" s="20"/>
      <c r="HT9" s="21"/>
      <c r="HU9" s="24"/>
      <c r="HV9" s="20"/>
      <c r="HW9" s="20"/>
      <c r="HX9" s="21"/>
      <c r="HY9" s="24"/>
      <c r="HZ9" s="20"/>
      <c r="IA9" s="20"/>
      <c r="IB9" s="21"/>
      <c r="IC9" s="24"/>
      <c r="ID9" s="20"/>
      <c r="IE9" s="20"/>
      <c r="IF9" s="21"/>
      <c r="IG9" s="24"/>
      <c r="IH9" s="20"/>
      <c r="II9" s="20"/>
      <c r="IJ9" s="21"/>
      <c r="IK9" s="24"/>
      <c r="IL9" s="20"/>
      <c r="IM9" s="20"/>
      <c r="IN9" s="21"/>
      <c r="IO9" s="24"/>
      <c r="IP9" s="20"/>
      <c r="IQ9" s="20"/>
      <c r="IR9" s="21"/>
      <c r="IS9" s="24"/>
      <c r="IT9" s="20"/>
      <c r="IU9" s="20"/>
      <c r="IV9" s="21"/>
    </row>
    <row r="10" spans="1:4" ht="11.25">
      <c r="A10" s="131">
        <v>38561</v>
      </c>
      <c r="B10" s="132" t="s">
        <v>115</v>
      </c>
      <c r="C10" s="132"/>
      <c r="D10" s="133" t="s">
        <v>43</v>
      </c>
    </row>
    <row r="11" spans="1:256" ht="11.25">
      <c r="A11" s="24">
        <v>38588</v>
      </c>
      <c r="B11" s="20" t="s">
        <v>116</v>
      </c>
      <c r="D11" s="21" t="s">
        <v>107</v>
      </c>
      <c r="E11" s="24"/>
      <c r="F11" s="20"/>
      <c r="G11" s="20"/>
      <c r="H11" s="21"/>
      <c r="I11" s="24"/>
      <c r="J11" s="20"/>
      <c r="K11" s="20"/>
      <c r="L11" s="21"/>
      <c r="M11" s="24"/>
      <c r="N11" s="20"/>
      <c r="O11" s="20"/>
      <c r="P11" s="21"/>
      <c r="Q11" s="24"/>
      <c r="R11" s="20"/>
      <c r="S11" s="20"/>
      <c r="T11" s="21"/>
      <c r="U11" s="24"/>
      <c r="V11" s="20"/>
      <c r="W11" s="20"/>
      <c r="X11" s="21"/>
      <c r="Y11" s="24"/>
      <c r="Z11" s="20"/>
      <c r="AA11" s="20"/>
      <c r="AB11" s="21"/>
      <c r="AC11" s="24"/>
      <c r="AD11" s="20"/>
      <c r="AE11" s="20"/>
      <c r="AF11" s="21"/>
      <c r="AG11" s="24"/>
      <c r="AH11" s="20"/>
      <c r="AI11" s="20"/>
      <c r="AJ11" s="21"/>
      <c r="AK11" s="24"/>
      <c r="AL11" s="20"/>
      <c r="AM11" s="20"/>
      <c r="AN11" s="21"/>
      <c r="AO11" s="24"/>
      <c r="AP11" s="20"/>
      <c r="AQ11" s="20"/>
      <c r="AR11" s="21"/>
      <c r="AS11" s="24"/>
      <c r="AT11" s="20"/>
      <c r="AU11" s="20"/>
      <c r="AV11" s="21"/>
      <c r="AW11" s="24"/>
      <c r="AX11" s="20"/>
      <c r="AY11" s="20"/>
      <c r="AZ11" s="21"/>
      <c r="BA11" s="24"/>
      <c r="BB11" s="20"/>
      <c r="BC11" s="20"/>
      <c r="BD11" s="21"/>
      <c r="BE11" s="24"/>
      <c r="BF11" s="20"/>
      <c r="BG11" s="20"/>
      <c r="BH11" s="21"/>
      <c r="BI11" s="24"/>
      <c r="BJ11" s="20"/>
      <c r="BK11" s="20"/>
      <c r="BL11" s="21"/>
      <c r="BM11" s="24"/>
      <c r="BN11" s="20"/>
      <c r="BO11" s="20"/>
      <c r="BP11" s="21"/>
      <c r="BQ11" s="24"/>
      <c r="BR11" s="20"/>
      <c r="BS11" s="20"/>
      <c r="BT11" s="21"/>
      <c r="BU11" s="24"/>
      <c r="BV11" s="20"/>
      <c r="BW11" s="20"/>
      <c r="BX11" s="21"/>
      <c r="BY11" s="24"/>
      <c r="BZ11" s="20"/>
      <c r="CA11" s="20"/>
      <c r="CB11" s="21"/>
      <c r="CC11" s="24"/>
      <c r="CD11" s="20"/>
      <c r="CE11" s="20"/>
      <c r="CF11" s="21"/>
      <c r="CG11" s="24"/>
      <c r="CH11" s="20"/>
      <c r="CI11" s="20"/>
      <c r="CJ11" s="21"/>
      <c r="CK11" s="24"/>
      <c r="CL11" s="20"/>
      <c r="CM11" s="20"/>
      <c r="CN11" s="21"/>
      <c r="CO11" s="24"/>
      <c r="CP11" s="20"/>
      <c r="CQ11" s="20"/>
      <c r="CR11" s="21"/>
      <c r="CS11" s="24"/>
      <c r="CT11" s="20"/>
      <c r="CU11" s="20"/>
      <c r="CV11" s="21"/>
      <c r="CW11" s="24"/>
      <c r="CX11" s="20"/>
      <c r="CY11" s="20"/>
      <c r="CZ11" s="21"/>
      <c r="DA11" s="24"/>
      <c r="DB11" s="20"/>
      <c r="DC11" s="20"/>
      <c r="DD11" s="21"/>
      <c r="DE11" s="24"/>
      <c r="DF11" s="20"/>
      <c r="DG11" s="20"/>
      <c r="DH11" s="21"/>
      <c r="DI11" s="24"/>
      <c r="DJ11" s="20"/>
      <c r="DK11" s="20"/>
      <c r="DL11" s="21"/>
      <c r="DM11" s="24"/>
      <c r="DN11" s="20"/>
      <c r="DO11" s="20"/>
      <c r="DP11" s="21"/>
      <c r="DQ11" s="24"/>
      <c r="DR11" s="20"/>
      <c r="DS11" s="20"/>
      <c r="DT11" s="21"/>
      <c r="DU11" s="24"/>
      <c r="DV11" s="20"/>
      <c r="DW11" s="20"/>
      <c r="DX11" s="21"/>
      <c r="DY11" s="24"/>
      <c r="DZ11" s="20"/>
      <c r="EA11" s="20"/>
      <c r="EB11" s="21"/>
      <c r="EC11" s="24"/>
      <c r="ED11" s="20"/>
      <c r="EE11" s="20"/>
      <c r="EF11" s="21"/>
      <c r="EG11" s="24"/>
      <c r="EH11" s="20"/>
      <c r="EI11" s="20"/>
      <c r="EJ11" s="21"/>
      <c r="EK11" s="24"/>
      <c r="EL11" s="20"/>
      <c r="EM11" s="20"/>
      <c r="EN11" s="21"/>
      <c r="EO11" s="24"/>
      <c r="EP11" s="20"/>
      <c r="EQ11" s="20"/>
      <c r="ER11" s="21"/>
      <c r="ES11" s="24"/>
      <c r="ET11" s="20"/>
      <c r="EU11" s="20"/>
      <c r="EV11" s="21"/>
      <c r="EW11" s="24"/>
      <c r="EX11" s="20"/>
      <c r="EY11" s="20"/>
      <c r="EZ11" s="21"/>
      <c r="FA11" s="24"/>
      <c r="FB11" s="20"/>
      <c r="FC11" s="20"/>
      <c r="FD11" s="21"/>
      <c r="FE11" s="24"/>
      <c r="FF11" s="20"/>
      <c r="FG11" s="20"/>
      <c r="FH11" s="21"/>
      <c r="FI11" s="24"/>
      <c r="FJ11" s="20"/>
      <c r="FK11" s="20"/>
      <c r="FL11" s="21"/>
      <c r="FM11" s="24"/>
      <c r="FN11" s="20"/>
      <c r="FO11" s="20"/>
      <c r="FP11" s="21"/>
      <c r="FQ11" s="24"/>
      <c r="FR11" s="20"/>
      <c r="FS11" s="20"/>
      <c r="FT11" s="21"/>
      <c r="FU11" s="24"/>
      <c r="FV11" s="20"/>
      <c r="FW11" s="20"/>
      <c r="FX11" s="21"/>
      <c r="FY11" s="24"/>
      <c r="FZ11" s="20"/>
      <c r="GA11" s="20"/>
      <c r="GB11" s="21"/>
      <c r="GC11" s="24"/>
      <c r="GD11" s="20"/>
      <c r="GE11" s="20"/>
      <c r="GF11" s="21"/>
      <c r="GG11" s="24"/>
      <c r="GH11" s="20"/>
      <c r="GI11" s="20"/>
      <c r="GJ11" s="21"/>
      <c r="GK11" s="24"/>
      <c r="GL11" s="20"/>
      <c r="GM11" s="20"/>
      <c r="GN11" s="21"/>
      <c r="GO11" s="24"/>
      <c r="GP11" s="20"/>
      <c r="GQ11" s="20"/>
      <c r="GR11" s="21"/>
      <c r="GS11" s="24"/>
      <c r="GT11" s="20"/>
      <c r="GU11" s="20"/>
      <c r="GV11" s="21"/>
      <c r="GW11" s="24"/>
      <c r="GX11" s="20"/>
      <c r="GY11" s="20"/>
      <c r="GZ11" s="21"/>
      <c r="HA11" s="24"/>
      <c r="HB11" s="20"/>
      <c r="HC11" s="20"/>
      <c r="HD11" s="21"/>
      <c r="HE11" s="24"/>
      <c r="HF11" s="20"/>
      <c r="HG11" s="20"/>
      <c r="HH11" s="21"/>
      <c r="HI11" s="24"/>
      <c r="HJ11" s="20"/>
      <c r="HK11" s="20"/>
      <c r="HL11" s="21"/>
      <c r="HM11" s="24"/>
      <c r="HN11" s="20"/>
      <c r="HO11" s="20"/>
      <c r="HP11" s="21"/>
      <c r="HQ11" s="24"/>
      <c r="HR11" s="20"/>
      <c r="HS11" s="20"/>
      <c r="HT11" s="21"/>
      <c r="HU11" s="24"/>
      <c r="HV11" s="20"/>
      <c r="HW11" s="20"/>
      <c r="HX11" s="21"/>
      <c r="HY11" s="24"/>
      <c r="HZ11" s="20"/>
      <c r="IA11" s="20"/>
      <c r="IB11" s="21"/>
      <c r="IC11" s="24"/>
      <c r="ID11" s="20"/>
      <c r="IE11" s="20"/>
      <c r="IF11" s="21"/>
      <c r="IG11" s="24"/>
      <c r="IH11" s="20"/>
      <c r="II11" s="20"/>
      <c r="IJ11" s="21"/>
      <c r="IK11" s="24"/>
      <c r="IL11" s="20"/>
      <c r="IM11" s="20"/>
      <c r="IN11" s="21"/>
      <c r="IO11" s="24"/>
      <c r="IP11" s="20"/>
      <c r="IQ11" s="20"/>
      <c r="IR11" s="21"/>
      <c r="IS11" s="24"/>
      <c r="IT11" s="20"/>
      <c r="IU11" s="20"/>
      <c r="IV11" s="21"/>
    </row>
    <row r="12" spans="1:4" ht="11.25">
      <c r="A12" s="131">
        <v>38608</v>
      </c>
      <c r="B12" s="132" t="s">
        <v>117</v>
      </c>
      <c r="C12" s="132"/>
      <c r="D12" s="133" t="s">
        <v>108</v>
      </c>
    </row>
    <row r="13" spans="1:256" ht="11.25">
      <c r="A13" s="24">
        <v>38611</v>
      </c>
      <c r="B13" s="20" t="s">
        <v>118</v>
      </c>
      <c r="C13" s="132"/>
      <c r="D13" s="21" t="s">
        <v>109</v>
      </c>
      <c r="E13" s="24"/>
      <c r="F13" s="20"/>
      <c r="G13" s="20"/>
      <c r="H13" s="21"/>
      <c r="I13" s="24"/>
      <c r="J13" s="20"/>
      <c r="K13" s="20"/>
      <c r="L13" s="21"/>
      <c r="M13" s="24"/>
      <c r="N13" s="20"/>
      <c r="O13" s="20"/>
      <c r="P13" s="21"/>
      <c r="Q13" s="24"/>
      <c r="R13" s="20"/>
      <c r="S13" s="20"/>
      <c r="T13" s="21"/>
      <c r="U13" s="24"/>
      <c r="V13" s="20"/>
      <c r="W13" s="20"/>
      <c r="X13" s="21"/>
      <c r="Y13" s="24"/>
      <c r="Z13" s="20"/>
      <c r="AA13" s="20"/>
      <c r="AB13" s="21"/>
      <c r="AC13" s="24"/>
      <c r="AD13" s="20"/>
      <c r="AE13" s="20"/>
      <c r="AF13" s="21"/>
      <c r="AG13" s="24"/>
      <c r="AH13" s="20"/>
      <c r="AI13" s="20"/>
      <c r="AJ13" s="21"/>
      <c r="AK13" s="24"/>
      <c r="AL13" s="20"/>
      <c r="AM13" s="20"/>
      <c r="AN13" s="21"/>
      <c r="AO13" s="24"/>
      <c r="AP13" s="20"/>
      <c r="AQ13" s="20"/>
      <c r="AR13" s="21"/>
      <c r="AS13" s="24"/>
      <c r="AT13" s="20"/>
      <c r="AU13" s="20"/>
      <c r="AV13" s="21"/>
      <c r="AW13" s="24"/>
      <c r="AX13" s="20"/>
      <c r="AY13" s="20"/>
      <c r="AZ13" s="21"/>
      <c r="BA13" s="24"/>
      <c r="BB13" s="20"/>
      <c r="BC13" s="20"/>
      <c r="BD13" s="21"/>
      <c r="BE13" s="24"/>
      <c r="BF13" s="20"/>
      <c r="BG13" s="20"/>
      <c r="BH13" s="21"/>
      <c r="BI13" s="24"/>
      <c r="BJ13" s="20"/>
      <c r="BK13" s="20"/>
      <c r="BL13" s="21"/>
      <c r="BM13" s="24"/>
      <c r="BN13" s="20"/>
      <c r="BO13" s="20"/>
      <c r="BP13" s="21"/>
      <c r="BQ13" s="24"/>
      <c r="BR13" s="20"/>
      <c r="BS13" s="20"/>
      <c r="BT13" s="21"/>
      <c r="BU13" s="24"/>
      <c r="BV13" s="20"/>
      <c r="BW13" s="20"/>
      <c r="BX13" s="21"/>
      <c r="BY13" s="24"/>
      <c r="BZ13" s="20"/>
      <c r="CA13" s="20"/>
      <c r="CB13" s="21"/>
      <c r="CC13" s="24"/>
      <c r="CD13" s="20"/>
      <c r="CE13" s="20"/>
      <c r="CF13" s="21"/>
      <c r="CG13" s="24"/>
      <c r="CH13" s="20"/>
      <c r="CI13" s="20"/>
      <c r="CJ13" s="21"/>
      <c r="CK13" s="24"/>
      <c r="CL13" s="20"/>
      <c r="CM13" s="20"/>
      <c r="CN13" s="21"/>
      <c r="CO13" s="24"/>
      <c r="CP13" s="20"/>
      <c r="CQ13" s="20"/>
      <c r="CR13" s="21"/>
      <c r="CS13" s="24"/>
      <c r="CT13" s="20"/>
      <c r="CU13" s="20"/>
      <c r="CV13" s="21"/>
      <c r="CW13" s="24"/>
      <c r="CX13" s="20"/>
      <c r="CY13" s="20"/>
      <c r="CZ13" s="21"/>
      <c r="DA13" s="24"/>
      <c r="DB13" s="20"/>
      <c r="DC13" s="20"/>
      <c r="DD13" s="21"/>
      <c r="DE13" s="24"/>
      <c r="DF13" s="20"/>
      <c r="DG13" s="20"/>
      <c r="DH13" s="21"/>
      <c r="DI13" s="24"/>
      <c r="DJ13" s="20"/>
      <c r="DK13" s="20"/>
      <c r="DL13" s="21"/>
      <c r="DM13" s="24"/>
      <c r="DN13" s="20"/>
      <c r="DO13" s="20"/>
      <c r="DP13" s="21"/>
      <c r="DQ13" s="24"/>
      <c r="DR13" s="20"/>
      <c r="DS13" s="20"/>
      <c r="DT13" s="21"/>
      <c r="DU13" s="24"/>
      <c r="DV13" s="20"/>
      <c r="DW13" s="20"/>
      <c r="DX13" s="21"/>
      <c r="DY13" s="24"/>
      <c r="DZ13" s="20"/>
      <c r="EA13" s="20"/>
      <c r="EB13" s="21"/>
      <c r="EC13" s="24"/>
      <c r="ED13" s="20"/>
      <c r="EE13" s="20"/>
      <c r="EF13" s="21"/>
      <c r="EG13" s="24"/>
      <c r="EH13" s="20"/>
      <c r="EI13" s="20"/>
      <c r="EJ13" s="21"/>
      <c r="EK13" s="24"/>
      <c r="EL13" s="20"/>
      <c r="EM13" s="20"/>
      <c r="EN13" s="21"/>
      <c r="EO13" s="24"/>
      <c r="EP13" s="20"/>
      <c r="EQ13" s="20"/>
      <c r="ER13" s="21"/>
      <c r="ES13" s="24"/>
      <c r="ET13" s="20"/>
      <c r="EU13" s="20"/>
      <c r="EV13" s="21"/>
      <c r="EW13" s="24"/>
      <c r="EX13" s="20"/>
      <c r="EY13" s="20"/>
      <c r="EZ13" s="21"/>
      <c r="FA13" s="24"/>
      <c r="FB13" s="20"/>
      <c r="FC13" s="20"/>
      <c r="FD13" s="21"/>
      <c r="FE13" s="24"/>
      <c r="FF13" s="20"/>
      <c r="FG13" s="20"/>
      <c r="FH13" s="21"/>
      <c r="FI13" s="24"/>
      <c r="FJ13" s="20"/>
      <c r="FK13" s="20"/>
      <c r="FL13" s="21"/>
      <c r="FM13" s="24"/>
      <c r="FN13" s="20"/>
      <c r="FO13" s="20"/>
      <c r="FP13" s="21"/>
      <c r="FQ13" s="24"/>
      <c r="FR13" s="20"/>
      <c r="FS13" s="20"/>
      <c r="FT13" s="21"/>
      <c r="FU13" s="24"/>
      <c r="FV13" s="20"/>
      <c r="FW13" s="20"/>
      <c r="FX13" s="21"/>
      <c r="FY13" s="24"/>
      <c r="FZ13" s="20"/>
      <c r="GA13" s="20"/>
      <c r="GB13" s="21"/>
      <c r="GC13" s="24"/>
      <c r="GD13" s="20"/>
      <c r="GE13" s="20"/>
      <c r="GF13" s="21"/>
      <c r="GG13" s="24"/>
      <c r="GH13" s="20"/>
      <c r="GI13" s="20"/>
      <c r="GJ13" s="21"/>
      <c r="GK13" s="24"/>
      <c r="GL13" s="20"/>
      <c r="GM13" s="20"/>
      <c r="GN13" s="21"/>
      <c r="GO13" s="24"/>
      <c r="GP13" s="20"/>
      <c r="GQ13" s="20"/>
      <c r="GR13" s="21"/>
      <c r="GS13" s="24"/>
      <c r="GT13" s="20"/>
      <c r="GU13" s="20"/>
      <c r="GV13" s="21"/>
      <c r="GW13" s="24"/>
      <c r="GX13" s="20"/>
      <c r="GY13" s="20"/>
      <c r="GZ13" s="21"/>
      <c r="HA13" s="24"/>
      <c r="HB13" s="20"/>
      <c r="HC13" s="20"/>
      <c r="HD13" s="21"/>
      <c r="HE13" s="24"/>
      <c r="HF13" s="20"/>
      <c r="HG13" s="20"/>
      <c r="HH13" s="21"/>
      <c r="HI13" s="24"/>
      <c r="HJ13" s="20"/>
      <c r="HK13" s="20"/>
      <c r="HL13" s="21"/>
      <c r="HM13" s="24"/>
      <c r="HN13" s="20"/>
      <c r="HO13" s="20"/>
      <c r="HP13" s="21"/>
      <c r="HQ13" s="24"/>
      <c r="HR13" s="20"/>
      <c r="HS13" s="20"/>
      <c r="HT13" s="21"/>
      <c r="HU13" s="24"/>
      <c r="HV13" s="20"/>
      <c r="HW13" s="20"/>
      <c r="HX13" s="21"/>
      <c r="HY13" s="24"/>
      <c r="HZ13" s="20"/>
      <c r="IA13" s="20"/>
      <c r="IB13" s="21"/>
      <c r="IC13" s="24"/>
      <c r="ID13" s="20"/>
      <c r="IE13" s="20"/>
      <c r="IF13" s="21"/>
      <c r="IG13" s="24"/>
      <c r="IH13" s="20"/>
      <c r="II13" s="20"/>
      <c r="IJ13" s="21"/>
      <c r="IK13" s="24"/>
      <c r="IL13" s="20"/>
      <c r="IM13" s="20"/>
      <c r="IN13" s="21"/>
      <c r="IO13" s="24"/>
      <c r="IP13" s="20"/>
      <c r="IQ13" s="20"/>
      <c r="IR13" s="21"/>
      <c r="IS13" s="24"/>
      <c r="IT13" s="20"/>
      <c r="IU13" s="20"/>
      <c r="IV13" s="21"/>
    </row>
    <row r="14" spans="1:256" ht="33.75">
      <c r="A14" s="24">
        <v>38617</v>
      </c>
      <c r="B14" s="20" t="s">
        <v>119</v>
      </c>
      <c r="C14" s="132"/>
      <c r="D14" s="21" t="s">
        <v>123</v>
      </c>
      <c r="E14" s="24"/>
      <c r="F14" s="20"/>
      <c r="G14" s="20"/>
      <c r="H14" s="21"/>
      <c r="I14" s="24"/>
      <c r="J14" s="20"/>
      <c r="K14" s="20"/>
      <c r="L14" s="21"/>
      <c r="M14" s="24"/>
      <c r="N14" s="20"/>
      <c r="O14" s="20"/>
      <c r="P14" s="21"/>
      <c r="Q14" s="24"/>
      <c r="R14" s="20"/>
      <c r="S14" s="20"/>
      <c r="T14" s="21"/>
      <c r="U14" s="24"/>
      <c r="V14" s="20"/>
      <c r="W14" s="20"/>
      <c r="X14" s="21"/>
      <c r="Y14" s="24"/>
      <c r="Z14" s="20"/>
      <c r="AA14" s="20"/>
      <c r="AB14" s="21"/>
      <c r="AC14" s="24"/>
      <c r="AD14" s="20"/>
      <c r="AE14" s="20"/>
      <c r="AF14" s="21"/>
      <c r="AG14" s="24"/>
      <c r="AH14" s="20"/>
      <c r="AI14" s="20"/>
      <c r="AJ14" s="21"/>
      <c r="AK14" s="24"/>
      <c r="AL14" s="20"/>
      <c r="AM14" s="20"/>
      <c r="AN14" s="21"/>
      <c r="AO14" s="24"/>
      <c r="AP14" s="20"/>
      <c r="AQ14" s="20"/>
      <c r="AR14" s="21"/>
      <c r="AS14" s="24"/>
      <c r="AT14" s="20"/>
      <c r="AU14" s="20"/>
      <c r="AV14" s="21"/>
      <c r="AW14" s="24"/>
      <c r="AX14" s="20"/>
      <c r="AY14" s="20"/>
      <c r="AZ14" s="21"/>
      <c r="BA14" s="24"/>
      <c r="BB14" s="20"/>
      <c r="BC14" s="20"/>
      <c r="BD14" s="21"/>
      <c r="BE14" s="24"/>
      <c r="BF14" s="20"/>
      <c r="BG14" s="20"/>
      <c r="BH14" s="21"/>
      <c r="BI14" s="24"/>
      <c r="BJ14" s="20"/>
      <c r="BK14" s="20"/>
      <c r="BL14" s="21"/>
      <c r="BM14" s="24"/>
      <c r="BN14" s="20"/>
      <c r="BO14" s="20"/>
      <c r="BP14" s="21"/>
      <c r="BQ14" s="24"/>
      <c r="BR14" s="20"/>
      <c r="BS14" s="20"/>
      <c r="BT14" s="21"/>
      <c r="BU14" s="24"/>
      <c r="BV14" s="20"/>
      <c r="BW14" s="20"/>
      <c r="BX14" s="21"/>
      <c r="BY14" s="24"/>
      <c r="BZ14" s="20"/>
      <c r="CA14" s="20"/>
      <c r="CB14" s="21"/>
      <c r="CC14" s="24"/>
      <c r="CD14" s="20"/>
      <c r="CE14" s="20"/>
      <c r="CF14" s="21"/>
      <c r="CG14" s="24"/>
      <c r="CH14" s="20"/>
      <c r="CI14" s="20"/>
      <c r="CJ14" s="21"/>
      <c r="CK14" s="24"/>
      <c r="CL14" s="20"/>
      <c r="CM14" s="20"/>
      <c r="CN14" s="21"/>
      <c r="CO14" s="24"/>
      <c r="CP14" s="20"/>
      <c r="CQ14" s="20"/>
      <c r="CR14" s="21"/>
      <c r="CS14" s="24"/>
      <c r="CT14" s="20"/>
      <c r="CU14" s="20"/>
      <c r="CV14" s="21"/>
      <c r="CW14" s="24"/>
      <c r="CX14" s="20"/>
      <c r="CY14" s="20"/>
      <c r="CZ14" s="21"/>
      <c r="DA14" s="24"/>
      <c r="DB14" s="20"/>
      <c r="DC14" s="20"/>
      <c r="DD14" s="21"/>
      <c r="DE14" s="24"/>
      <c r="DF14" s="20"/>
      <c r="DG14" s="20"/>
      <c r="DH14" s="21"/>
      <c r="DI14" s="24"/>
      <c r="DJ14" s="20"/>
      <c r="DK14" s="20"/>
      <c r="DL14" s="21"/>
      <c r="DM14" s="24"/>
      <c r="DN14" s="20"/>
      <c r="DO14" s="20"/>
      <c r="DP14" s="21"/>
      <c r="DQ14" s="24"/>
      <c r="DR14" s="20"/>
      <c r="DS14" s="20"/>
      <c r="DT14" s="21"/>
      <c r="DU14" s="24"/>
      <c r="DV14" s="20"/>
      <c r="DW14" s="20"/>
      <c r="DX14" s="21"/>
      <c r="DY14" s="24"/>
      <c r="DZ14" s="20"/>
      <c r="EA14" s="20"/>
      <c r="EB14" s="21"/>
      <c r="EC14" s="24"/>
      <c r="ED14" s="20"/>
      <c r="EE14" s="20"/>
      <c r="EF14" s="21"/>
      <c r="EG14" s="24"/>
      <c r="EH14" s="20"/>
      <c r="EI14" s="20"/>
      <c r="EJ14" s="21"/>
      <c r="EK14" s="24"/>
      <c r="EL14" s="20"/>
      <c r="EM14" s="20"/>
      <c r="EN14" s="21"/>
      <c r="EO14" s="24"/>
      <c r="EP14" s="20"/>
      <c r="EQ14" s="20"/>
      <c r="ER14" s="21"/>
      <c r="ES14" s="24"/>
      <c r="ET14" s="20"/>
      <c r="EU14" s="20"/>
      <c r="EV14" s="21"/>
      <c r="EW14" s="24"/>
      <c r="EX14" s="20"/>
      <c r="EY14" s="20"/>
      <c r="EZ14" s="21"/>
      <c r="FA14" s="24"/>
      <c r="FB14" s="20"/>
      <c r="FC14" s="20"/>
      <c r="FD14" s="21"/>
      <c r="FE14" s="24"/>
      <c r="FF14" s="20"/>
      <c r="FG14" s="20"/>
      <c r="FH14" s="21"/>
      <c r="FI14" s="24"/>
      <c r="FJ14" s="20"/>
      <c r="FK14" s="20"/>
      <c r="FL14" s="21"/>
      <c r="FM14" s="24"/>
      <c r="FN14" s="20"/>
      <c r="FO14" s="20"/>
      <c r="FP14" s="21"/>
      <c r="FQ14" s="24"/>
      <c r="FR14" s="20"/>
      <c r="FS14" s="20"/>
      <c r="FT14" s="21"/>
      <c r="FU14" s="24"/>
      <c r="FV14" s="20"/>
      <c r="FW14" s="20"/>
      <c r="FX14" s="21"/>
      <c r="FY14" s="24"/>
      <c r="FZ14" s="20"/>
      <c r="GA14" s="20"/>
      <c r="GB14" s="21"/>
      <c r="GC14" s="24"/>
      <c r="GD14" s="20"/>
      <c r="GE14" s="20"/>
      <c r="GF14" s="21"/>
      <c r="GG14" s="24"/>
      <c r="GH14" s="20"/>
      <c r="GI14" s="20"/>
      <c r="GJ14" s="21"/>
      <c r="GK14" s="24"/>
      <c r="GL14" s="20"/>
      <c r="GM14" s="20"/>
      <c r="GN14" s="21"/>
      <c r="GO14" s="24"/>
      <c r="GP14" s="20"/>
      <c r="GQ14" s="20"/>
      <c r="GR14" s="21"/>
      <c r="GS14" s="24"/>
      <c r="GT14" s="20"/>
      <c r="GU14" s="20"/>
      <c r="GV14" s="21"/>
      <c r="GW14" s="24"/>
      <c r="GX14" s="20"/>
      <c r="GY14" s="20"/>
      <c r="GZ14" s="21"/>
      <c r="HA14" s="24"/>
      <c r="HB14" s="20"/>
      <c r="HC14" s="20"/>
      <c r="HD14" s="21"/>
      <c r="HE14" s="24"/>
      <c r="HF14" s="20"/>
      <c r="HG14" s="20"/>
      <c r="HH14" s="21"/>
      <c r="HI14" s="24"/>
      <c r="HJ14" s="20"/>
      <c r="HK14" s="20"/>
      <c r="HL14" s="21"/>
      <c r="HM14" s="24"/>
      <c r="HN14" s="20"/>
      <c r="HO14" s="20"/>
      <c r="HP14" s="21"/>
      <c r="HQ14" s="24"/>
      <c r="HR14" s="20"/>
      <c r="HS14" s="20"/>
      <c r="HT14" s="21"/>
      <c r="HU14" s="24"/>
      <c r="HV14" s="20"/>
      <c r="HW14" s="20"/>
      <c r="HX14" s="21"/>
      <c r="HY14" s="24"/>
      <c r="HZ14" s="20"/>
      <c r="IA14" s="20"/>
      <c r="IB14" s="21"/>
      <c r="IC14" s="24"/>
      <c r="ID14" s="20"/>
      <c r="IE14" s="20"/>
      <c r="IF14" s="21"/>
      <c r="IG14" s="24"/>
      <c r="IH14" s="20"/>
      <c r="II14" s="20"/>
      <c r="IJ14" s="21"/>
      <c r="IK14" s="24"/>
      <c r="IL14" s="20"/>
      <c r="IM14" s="20"/>
      <c r="IN14" s="21"/>
      <c r="IO14" s="24"/>
      <c r="IP14" s="20"/>
      <c r="IQ14" s="20"/>
      <c r="IR14" s="21"/>
      <c r="IS14" s="24"/>
      <c r="IT14" s="20"/>
      <c r="IU14" s="20"/>
      <c r="IV14" s="21"/>
    </row>
    <row r="15" spans="1:256" ht="45">
      <c r="A15" s="24">
        <v>38618</v>
      </c>
      <c r="B15" s="20" t="s">
        <v>124</v>
      </c>
      <c r="C15" s="132"/>
      <c r="D15" s="21" t="s">
        <v>122</v>
      </c>
      <c r="E15" s="24"/>
      <c r="F15" s="20"/>
      <c r="G15" s="20"/>
      <c r="H15" s="21"/>
      <c r="I15" s="24"/>
      <c r="J15" s="20"/>
      <c r="K15" s="20"/>
      <c r="L15" s="21"/>
      <c r="M15" s="24"/>
      <c r="N15" s="20"/>
      <c r="O15" s="20"/>
      <c r="P15" s="21"/>
      <c r="Q15" s="24"/>
      <c r="R15" s="20"/>
      <c r="S15" s="20"/>
      <c r="T15" s="21"/>
      <c r="U15" s="24"/>
      <c r="V15" s="20"/>
      <c r="W15" s="20"/>
      <c r="X15" s="21"/>
      <c r="Y15" s="24"/>
      <c r="Z15" s="20"/>
      <c r="AA15" s="20"/>
      <c r="AB15" s="21"/>
      <c r="AC15" s="24"/>
      <c r="AD15" s="20"/>
      <c r="AE15" s="20"/>
      <c r="AF15" s="21"/>
      <c r="AG15" s="24"/>
      <c r="AH15" s="20"/>
      <c r="AI15" s="20"/>
      <c r="AJ15" s="21"/>
      <c r="AK15" s="24"/>
      <c r="AL15" s="20"/>
      <c r="AM15" s="20"/>
      <c r="AN15" s="21"/>
      <c r="AO15" s="24"/>
      <c r="AP15" s="20"/>
      <c r="AQ15" s="20"/>
      <c r="AR15" s="21"/>
      <c r="AS15" s="24"/>
      <c r="AT15" s="20"/>
      <c r="AU15" s="20"/>
      <c r="AV15" s="21"/>
      <c r="AW15" s="24"/>
      <c r="AX15" s="20"/>
      <c r="AY15" s="20"/>
      <c r="AZ15" s="21"/>
      <c r="BA15" s="24"/>
      <c r="BB15" s="20"/>
      <c r="BC15" s="20"/>
      <c r="BD15" s="21"/>
      <c r="BE15" s="24"/>
      <c r="BF15" s="20"/>
      <c r="BG15" s="20"/>
      <c r="BH15" s="21"/>
      <c r="BI15" s="24"/>
      <c r="BJ15" s="20"/>
      <c r="BK15" s="20"/>
      <c r="BL15" s="21"/>
      <c r="BM15" s="24"/>
      <c r="BN15" s="20"/>
      <c r="BO15" s="20"/>
      <c r="BP15" s="21"/>
      <c r="BQ15" s="24"/>
      <c r="BR15" s="20"/>
      <c r="BS15" s="20"/>
      <c r="BT15" s="21"/>
      <c r="BU15" s="24"/>
      <c r="BV15" s="20"/>
      <c r="BW15" s="20"/>
      <c r="BX15" s="21"/>
      <c r="BY15" s="24"/>
      <c r="BZ15" s="20"/>
      <c r="CA15" s="20"/>
      <c r="CB15" s="21"/>
      <c r="CC15" s="24"/>
      <c r="CD15" s="20"/>
      <c r="CE15" s="20"/>
      <c r="CF15" s="21"/>
      <c r="CG15" s="24"/>
      <c r="CH15" s="20"/>
      <c r="CI15" s="20"/>
      <c r="CJ15" s="21"/>
      <c r="CK15" s="24"/>
      <c r="CL15" s="20"/>
      <c r="CM15" s="20"/>
      <c r="CN15" s="21"/>
      <c r="CO15" s="24"/>
      <c r="CP15" s="20"/>
      <c r="CQ15" s="20"/>
      <c r="CR15" s="21"/>
      <c r="CS15" s="24"/>
      <c r="CT15" s="20"/>
      <c r="CU15" s="20"/>
      <c r="CV15" s="21"/>
      <c r="CW15" s="24"/>
      <c r="CX15" s="20"/>
      <c r="CY15" s="20"/>
      <c r="CZ15" s="21"/>
      <c r="DA15" s="24"/>
      <c r="DB15" s="20"/>
      <c r="DC15" s="20"/>
      <c r="DD15" s="21"/>
      <c r="DE15" s="24"/>
      <c r="DF15" s="20"/>
      <c r="DG15" s="20"/>
      <c r="DH15" s="21"/>
      <c r="DI15" s="24"/>
      <c r="DJ15" s="20"/>
      <c r="DK15" s="20"/>
      <c r="DL15" s="21"/>
      <c r="DM15" s="24"/>
      <c r="DN15" s="20"/>
      <c r="DO15" s="20"/>
      <c r="DP15" s="21"/>
      <c r="DQ15" s="24"/>
      <c r="DR15" s="20"/>
      <c r="DS15" s="20"/>
      <c r="DT15" s="21"/>
      <c r="DU15" s="24"/>
      <c r="DV15" s="20"/>
      <c r="DW15" s="20"/>
      <c r="DX15" s="21"/>
      <c r="DY15" s="24"/>
      <c r="DZ15" s="20"/>
      <c r="EA15" s="20"/>
      <c r="EB15" s="21"/>
      <c r="EC15" s="24"/>
      <c r="ED15" s="20"/>
      <c r="EE15" s="20"/>
      <c r="EF15" s="21"/>
      <c r="EG15" s="24"/>
      <c r="EH15" s="20"/>
      <c r="EI15" s="20"/>
      <c r="EJ15" s="21"/>
      <c r="EK15" s="24"/>
      <c r="EL15" s="20"/>
      <c r="EM15" s="20"/>
      <c r="EN15" s="21"/>
      <c r="EO15" s="24"/>
      <c r="EP15" s="20"/>
      <c r="EQ15" s="20"/>
      <c r="ER15" s="21"/>
      <c r="ES15" s="24"/>
      <c r="ET15" s="20"/>
      <c r="EU15" s="20"/>
      <c r="EV15" s="21"/>
      <c r="EW15" s="24"/>
      <c r="EX15" s="20"/>
      <c r="EY15" s="20"/>
      <c r="EZ15" s="21"/>
      <c r="FA15" s="24"/>
      <c r="FB15" s="20"/>
      <c r="FC15" s="20"/>
      <c r="FD15" s="21"/>
      <c r="FE15" s="24"/>
      <c r="FF15" s="20"/>
      <c r="FG15" s="20"/>
      <c r="FH15" s="21"/>
      <c r="FI15" s="24"/>
      <c r="FJ15" s="20"/>
      <c r="FK15" s="20"/>
      <c r="FL15" s="21"/>
      <c r="FM15" s="24"/>
      <c r="FN15" s="20"/>
      <c r="FO15" s="20"/>
      <c r="FP15" s="21"/>
      <c r="FQ15" s="24"/>
      <c r="FR15" s="20"/>
      <c r="FS15" s="20"/>
      <c r="FT15" s="21"/>
      <c r="FU15" s="24"/>
      <c r="FV15" s="20"/>
      <c r="FW15" s="20"/>
      <c r="FX15" s="21"/>
      <c r="FY15" s="24"/>
      <c r="FZ15" s="20"/>
      <c r="GA15" s="20"/>
      <c r="GB15" s="21"/>
      <c r="GC15" s="24"/>
      <c r="GD15" s="20"/>
      <c r="GE15" s="20"/>
      <c r="GF15" s="21"/>
      <c r="GG15" s="24"/>
      <c r="GH15" s="20"/>
      <c r="GI15" s="20"/>
      <c r="GJ15" s="21"/>
      <c r="GK15" s="24"/>
      <c r="GL15" s="20"/>
      <c r="GM15" s="20"/>
      <c r="GN15" s="21"/>
      <c r="GO15" s="24"/>
      <c r="GP15" s="20"/>
      <c r="GQ15" s="20"/>
      <c r="GR15" s="21"/>
      <c r="GS15" s="24"/>
      <c r="GT15" s="20"/>
      <c r="GU15" s="20"/>
      <c r="GV15" s="21"/>
      <c r="GW15" s="24"/>
      <c r="GX15" s="20"/>
      <c r="GY15" s="20"/>
      <c r="GZ15" s="21"/>
      <c r="HA15" s="24"/>
      <c r="HB15" s="20"/>
      <c r="HC15" s="20"/>
      <c r="HD15" s="21"/>
      <c r="HE15" s="24"/>
      <c r="HF15" s="20"/>
      <c r="HG15" s="20"/>
      <c r="HH15" s="21"/>
      <c r="HI15" s="24"/>
      <c r="HJ15" s="20"/>
      <c r="HK15" s="20"/>
      <c r="HL15" s="21"/>
      <c r="HM15" s="24"/>
      <c r="HN15" s="20"/>
      <c r="HO15" s="20"/>
      <c r="HP15" s="21"/>
      <c r="HQ15" s="24"/>
      <c r="HR15" s="20"/>
      <c r="HS15" s="20"/>
      <c r="HT15" s="21"/>
      <c r="HU15" s="24"/>
      <c r="HV15" s="20"/>
      <c r="HW15" s="20"/>
      <c r="HX15" s="21"/>
      <c r="HY15" s="24"/>
      <c r="HZ15" s="20"/>
      <c r="IA15" s="20"/>
      <c r="IB15" s="21"/>
      <c r="IC15" s="24"/>
      <c r="ID15" s="20"/>
      <c r="IE15" s="20"/>
      <c r="IF15" s="21"/>
      <c r="IG15" s="24"/>
      <c r="IH15" s="20"/>
      <c r="II15" s="20"/>
      <c r="IJ15" s="21"/>
      <c r="IK15" s="24"/>
      <c r="IL15" s="20"/>
      <c r="IM15" s="20"/>
      <c r="IN15" s="21"/>
      <c r="IO15" s="24"/>
      <c r="IP15" s="20"/>
      <c r="IQ15" s="20"/>
      <c r="IR15" s="21"/>
      <c r="IS15" s="24"/>
      <c r="IT15" s="20"/>
      <c r="IU15" s="20"/>
      <c r="IV15" s="21"/>
    </row>
    <row r="16" spans="1:256" ht="11.25">
      <c r="A16" s="24">
        <v>38624</v>
      </c>
      <c r="B16" s="20" t="s">
        <v>120</v>
      </c>
      <c r="C16" s="132"/>
      <c r="D16" s="21" t="s">
        <v>129</v>
      </c>
      <c r="E16" s="24"/>
      <c r="F16" s="20"/>
      <c r="G16" s="20"/>
      <c r="H16" s="21"/>
      <c r="I16" s="24"/>
      <c r="J16" s="20"/>
      <c r="K16" s="20"/>
      <c r="L16" s="21"/>
      <c r="M16" s="24"/>
      <c r="N16" s="20"/>
      <c r="O16" s="20"/>
      <c r="P16" s="21"/>
      <c r="Q16" s="24"/>
      <c r="R16" s="20"/>
      <c r="S16" s="20"/>
      <c r="T16" s="21"/>
      <c r="U16" s="24"/>
      <c r="V16" s="20"/>
      <c r="W16" s="20"/>
      <c r="X16" s="21"/>
      <c r="Y16" s="24"/>
      <c r="Z16" s="20"/>
      <c r="AA16" s="20"/>
      <c r="AB16" s="21"/>
      <c r="AC16" s="24"/>
      <c r="AD16" s="20"/>
      <c r="AE16" s="20"/>
      <c r="AF16" s="21"/>
      <c r="AG16" s="24"/>
      <c r="AH16" s="20"/>
      <c r="AI16" s="20"/>
      <c r="AJ16" s="21"/>
      <c r="AK16" s="24"/>
      <c r="AL16" s="20"/>
      <c r="AM16" s="20"/>
      <c r="AN16" s="21"/>
      <c r="AO16" s="24"/>
      <c r="AP16" s="20"/>
      <c r="AQ16" s="20"/>
      <c r="AR16" s="21"/>
      <c r="AS16" s="24"/>
      <c r="AT16" s="20"/>
      <c r="AU16" s="20"/>
      <c r="AV16" s="21"/>
      <c r="AW16" s="24"/>
      <c r="AX16" s="20"/>
      <c r="AY16" s="20"/>
      <c r="AZ16" s="21"/>
      <c r="BA16" s="24"/>
      <c r="BB16" s="20"/>
      <c r="BC16" s="20"/>
      <c r="BD16" s="21"/>
      <c r="BE16" s="24"/>
      <c r="BF16" s="20"/>
      <c r="BG16" s="20"/>
      <c r="BH16" s="21"/>
      <c r="BI16" s="24"/>
      <c r="BJ16" s="20"/>
      <c r="BK16" s="20"/>
      <c r="BL16" s="21"/>
      <c r="BM16" s="24"/>
      <c r="BN16" s="20"/>
      <c r="BO16" s="20"/>
      <c r="BP16" s="21"/>
      <c r="BQ16" s="24"/>
      <c r="BR16" s="20"/>
      <c r="BS16" s="20"/>
      <c r="BT16" s="21"/>
      <c r="BU16" s="24"/>
      <c r="BV16" s="20"/>
      <c r="BW16" s="20"/>
      <c r="BX16" s="21"/>
      <c r="BY16" s="24"/>
      <c r="BZ16" s="20"/>
      <c r="CA16" s="20"/>
      <c r="CB16" s="21"/>
      <c r="CC16" s="24"/>
      <c r="CD16" s="20"/>
      <c r="CE16" s="20"/>
      <c r="CF16" s="21"/>
      <c r="CG16" s="24"/>
      <c r="CH16" s="20"/>
      <c r="CI16" s="20"/>
      <c r="CJ16" s="21"/>
      <c r="CK16" s="24"/>
      <c r="CL16" s="20"/>
      <c r="CM16" s="20"/>
      <c r="CN16" s="21"/>
      <c r="CO16" s="24"/>
      <c r="CP16" s="20"/>
      <c r="CQ16" s="20"/>
      <c r="CR16" s="21"/>
      <c r="CS16" s="24"/>
      <c r="CT16" s="20"/>
      <c r="CU16" s="20"/>
      <c r="CV16" s="21"/>
      <c r="CW16" s="24"/>
      <c r="CX16" s="20"/>
      <c r="CY16" s="20"/>
      <c r="CZ16" s="21"/>
      <c r="DA16" s="24"/>
      <c r="DB16" s="20"/>
      <c r="DC16" s="20"/>
      <c r="DD16" s="21"/>
      <c r="DE16" s="24"/>
      <c r="DF16" s="20"/>
      <c r="DG16" s="20"/>
      <c r="DH16" s="21"/>
      <c r="DI16" s="24"/>
      <c r="DJ16" s="20"/>
      <c r="DK16" s="20"/>
      <c r="DL16" s="21"/>
      <c r="DM16" s="24"/>
      <c r="DN16" s="20"/>
      <c r="DO16" s="20"/>
      <c r="DP16" s="21"/>
      <c r="DQ16" s="24"/>
      <c r="DR16" s="20"/>
      <c r="DS16" s="20"/>
      <c r="DT16" s="21"/>
      <c r="DU16" s="24"/>
      <c r="DV16" s="20"/>
      <c r="DW16" s="20"/>
      <c r="DX16" s="21"/>
      <c r="DY16" s="24"/>
      <c r="DZ16" s="20"/>
      <c r="EA16" s="20"/>
      <c r="EB16" s="21"/>
      <c r="EC16" s="24"/>
      <c r="ED16" s="20"/>
      <c r="EE16" s="20"/>
      <c r="EF16" s="21"/>
      <c r="EG16" s="24"/>
      <c r="EH16" s="20"/>
      <c r="EI16" s="20"/>
      <c r="EJ16" s="21"/>
      <c r="EK16" s="24"/>
      <c r="EL16" s="20"/>
      <c r="EM16" s="20"/>
      <c r="EN16" s="21"/>
      <c r="EO16" s="24"/>
      <c r="EP16" s="20"/>
      <c r="EQ16" s="20"/>
      <c r="ER16" s="21"/>
      <c r="ES16" s="24"/>
      <c r="ET16" s="20"/>
      <c r="EU16" s="20"/>
      <c r="EV16" s="21"/>
      <c r="EW16" s="24"/>
      <c r="EX16" s="20"/>
      <c r="EY16" s="20"/>
      <c r="EZ16" s="21"/>
      <c r="FA16" s="24"/>
      <c r="FB16" s="20"/>
      <c r="FC16" s="20"/>
      <c r="FD16" s="21"/>
      <c r="FE16" s="24"/>
      <c r="FF16" s="20"/>
      <c r="FG16" s="20"/>
      <c r="FH16" s="21"/>
      <c r="FI16" s="24"/>
      <c r="FJ16" s="20"/>
      <c r="FK16" s="20"/>
      <c r="FL16" s="21"/>
      <c r="FM16" s="24"/>
      <c r="FN16" s="20"/>
      <c r="FO16" s="20"/>
      <c r="FP16" s="21"/>
      <c r="FQ16" s="24"/>
      <c r="FR16" s="20"/>
      <c r="FS16" s="20"/>
      <c r="FT16" s="21"/>
      <c r="FU16" s="24"/>
      <c r="FV16" s="20"/>
      <c r="FW16" s="20"/>
      <c r="FX16" s="21"/>
      <c r="FY16" s="24"/>
      <c r="FZ16" s="20"/>
      <c r="GA16" s="20"/>
      <c r="GB16" s="21"/>
      <c r="GC16" s="24"/>
      <c r="GD16" s="20"/>
      <c r="GE16" s="20"/>
      <c r="GF16" s="21"/>
      <c r="GG16" s="24"/>
      <c r="GH16" s="20"/>
      <c r="GI16" s="20"/>
      <c r="GJ16" s="21"/>
      <c r="GK16" s="24"/>
      <c r="GL16" s="20"/>
      <c r="GM16" s="20"/>
      <c r="GN16" s="21"/>
      <c r="GO16" s="24"/>
      <c r="GP16" s="20"/>
      <c r="GQ16" s="20"/>
      <c r="GR16" s="21"/>
      <c r="GS16" s="24"/>
      <c r="GT16" s="20"/>
      <c r="GU16" s="20"/>
      <c r="GV16" s="21"/>
      <c r="GW16" s="24"/>
      <c r="GX16" s="20"/>
      <c r="GY16" s="20"/>
      <c r="GZ16" s="21"/>
      <c r="HA16" s="24"/>
      <c r="HB16" s="20"/>
      <c r="HC16" s="20"/>
      <c r="HD16" s="21"/>
      <c r="HE16" s="24"/>
      <c r="HF16" s="20"/>
      <c r="HG16" s="20"/>
      <c r="HH16" s="21"/>
      <c r="HI16" s="24"/>
      <c r="HJ16" s="20"/>
      <c r="HK16" s="20"/>
      <c r="HL16" s="21"/>
      <c r="HM16" s="24"/>
      <c r="HN16" s="20"/>
      <c r="HO16" s="20"/>
      <c r="HP16" s="21"/>
      <c r="HQ16" s="24"/>
      <c r="HR16" s="20"/>
      <c r="HS16" s="20"/>
      <c r="HT16" s="21"/>
      <c r="HU16" s="24"/>
      <c r="HV16" s="20"/>
      <c r="HW16" s="20"/>
      <c r="HX16" s="21"/>
      <c r="HY16" s="24"/>
      <c r="HZ16" s="20"/>
      <c r="IA16" s="20"/>
      <c r="IB16" s="21"/>
      <c r="IC16" s="24"/>
      <c r="ID16" s="20"/>
      <c r="IE16" s="20"/>
      <c r="IF16" s="21"/>
      <c r="IG16" s="24"/>
      <c r="IH16" s="20"/>
      <c r="II16" s="20"/>
      <c r="IJ16" s="21"/>
      <c r="IK16" s="24"/>
      <c r="IL16" s="20"/>
      <c r="IM16" s="20"/>
      <c r="IN16" s="21"/>
      <c r="IO16" s="24"/>
      <c r="IP16" s="20"/>
      <c r="IQ16" s="20"/>
      <c r="IR16" s="21"/>
      <c r="IS16" s="24"/>
      <c r="IT16" s="20"/>
      <c r="IU16" s="20"/>
      <c r="IV16" s="21"/>
    </row>
    <row r="17" spans="1:256" ht="11.25">
      <c r="A17" s="24">
        <v>38629</v>
      </c>
      <c r="B17" s="20" t="s">
        <v>121</v>
      </c>
      <c r="C17" s="132" t="s">
        <v>128</v>
      </c>
      <c r="D17" s="21" t="s">
        <v>110</v>
      </c>
      <c r="E17" s="24"/>
      <c r="F17" s="20"/>
      <c r="G17" s="20"/>
      <c r="H17" s="21"/>
      <c r="I17" s="24"/>
      <c r="J17" s="20"/>
      <c r="K17" s="20"/>
      <c r="L17" s="21"/>
      <c r="M17" s="24"/>
      <c r="N17" s="20"/>
      <c r="O17" s="20"/>
      <c r="P17" s="21"/>
      <c r="Q17" s="24"/>
      <c r="R17" s="20"/>
      <c r="S17" s="20"/>
      <c r="T17" s="21"/>
      <c r="U17" s="24"/>
      <c r="V17" s="20"/>
      <c r="W17" s="20"/>
      <c r="X17" s="21"/>
      <c r="Y17" s="24"/>
      <c r="Z17" s="20"/>
      <c r="AA17" s="20"/>
      <c r="AB17" s="21"/>
      <c r="AC17" s="24"/>
      <c r="AD17" s="20"/>
      <c r="AE17" s="20"/>
      <c r="AF17" s="21"/>
      <c r="AG17" s="24"/>
      <c r="AH17" s="20"/>
      <c r="AI17" s="20"/>
      <c r="AJ17" s="21"/>
      <c r="AK17" s="24"/>
      <c r="AL17" s="20"/>
      <c r="AM17" s="20"/>
      <c r="AN17" s="21"/>
      <c r="AO17" s="24"/>
      <c r="AP17" s="20"/>
      <c r="AQ17" s="20"/>
      <c r="AR17" s="21"/>
      <c r="AS17" s="24"/>
      <c r="AT17" s="20"/>
      <c r="AU17" s="20"/>
      <c r="AV17" s="21"/>
      <c r="AW17" s="24"/>
      <c r="AX17" s="20"/>
      <c r="AY17" s="20"/>
      <c r="AZ17" s="21"/>
      <c r="BA17" s="24"/>
      <c r="BB17" s="20"/>
      <c r="BC17" s="20"/>
      <c r="BD17" s="21"/>
      <c r="BE17" s="24"/>
      <c r="BF17" s="20"/>
      <c r="BG17" s="20"/>
      <c r="BH17" s="21"/>
      <c r="BI17" s="24"/>
      <c r="BJ17" s="20"/>
      <c r="BK17" s="20"/>
      <c r="BL17" s="21"/>
      <c r="BM17" s="24"/>
      <c r="BN17" s="20"/>
      <c r="BO17" s="20"/>
      <c r="BP17" s="21"/>
      <c r="BQ17" s="24"/>
      <c r="BR17" s="20"/>
      <c r="BS17" s="20"/>
      <c r="BT17" s="21"/>
      <c r="BU17" s="24"/>
      <c r="BV17" s="20"/>
      <c r="BW17" s="20"/>
      <c r="BX17" s="21"/>
      <c r="BY17" s="24"/>
      <c r="BZ17" s="20"/>
      <c r="CA17" s="20"/>
      <c r="CB17" s="21"/>
      <c r="CC17" s="24"/>
      <c r="CD17" s="20"/>
      <c r="CE17" s="20"/>
      <c r="CF17" s="21"/>
      <c r="CG17" s="24"/>
      <c r="CH17" s="20"/>
      <c r="CI17" s="20"/>
      <c r="CJ17" s="21"/>
      <c r="CK17" s="24"/>
      <c r="CL17" s="20"/>
      <c r="CM17" s="20"/>
      <c r="CN17" s="21"/>
      <c r="CO17" s="24"/>
      <c r="CP17" s="20"/>
      <c r="CQ17" s="20"/>
      <c r="CR17" s="21"/>
      <c r="CS17" s="24"/>
      <c r="CT17" s="20"/>
      <c r="CU17" s="20"/>
      <c r="CV17" s="21"/>
      <c r="CW17" s="24"/>
      <c r="CX17" s="20"/>
      <c r="CY17" s="20"/>
      <c r="CZ17" s="21"/>
      <c r="DA17" s="24"/>
      <c r="DB17" s="20"/>
      <c r="DC17" s="20"/>
      <c r="DD17" s="21"/>
      <c r="DE17" s="24"/>
      <c r="DF17" s="20"/>
      <c r="DG17" s="20"/>
      <c r="DH17" s="21"/>
      <c r="DI17" s="24"/>
      <c r="DJ17" s="20"/>
      <c r="DK17" s="20"/>
      <c r="DL17" s="21"/>
      <c r="DM17" s="24"/>
      <c r="DN17" s="20"/>
      <c r="DO17" s="20"/>
      <c r="DP17" s="21"/>
      <c r="DQ17" s="24"/>
      <c r="DR17" s="20"/>
      <c r="DS17" s="20"/>
      <c r="DT17" s="21"/>
      <c r="DU17" s="24"/>
      <c r="DV17" s="20"/>
      <c r="DW17" s="20"/>
      <c r="DX17" s="21"/>
      <c r="DY17" s="24"/>
      <c r="DZ17" s="20"/>
      <c r="EA17" s="20"/>
      <c r="EB17" s="21"/>
      <c r="EC17" s="24"/>
      <c r="ED17" s="20"/>
      <c r="EE17" s="20"/>
      <c r="EF17" s="21"/>
      <c r="EG17" s="24"/>
      <c r="EH17" s="20"/>
      <c r="EI17" s="20"/>
      <c r="EJ17" s="21"/>
      <c r="EK17" s="24"/>
      <c r="EL17" s="20"/>
      <c r="EM17" s="20"/>
      <c r="EN17" s="21"/>
      <c r="EO17" s="24"/>
      <c r="EP17" s="20"/>
      <c r="EQ17" s="20"/>
      <c r="ER17" s="21"/>
      <c r="ES17" s="24"/>
      <c r="ET17" s="20"/>
      <c r="EU17" s="20"/>
      <c r="EV17" s="21"/>
      <c r="EW17" s="24"/>
      <c r="EX17" s="20"/>
      <c r="EY17" s="20"/>
      <c r="EZ17" s="21"/>
      <c r="FA17" s="24"/>
      <c r="FB17" s="20"/>
      <c r="FC17" s="20"/>
      <c r="FD17" s="21"/>
      <c r="FE17" s="24"/>
      <c r="FF17" s="20"/>
      <c r="FG17" s="20"/>
      <c r="FH17" s="21"/>
      <c r="FI17" s="24"/>
      <c r="FJ17" s="20"/>
      <c r="FK17" s="20"/>
      <c r="FL17" s="21"/>
      <c r="FM17" s="24"/>
      <c r="FN17" s="20"/>
      <c r="FO17" s="20"/>
      <c r="FP17" s="21"/>
      <c r="FQ17" s="24"/>
      <c r="FR17" s="20"/>
      <c r="FS17" s="20"/>
      <c r="FT17" s="21"/>
      <c r="FU17" s="24"/>
      <c r="FV17" s="20"/>
      <c r="FW17" s="20"/>
      <c r="FX17" s="21"/>
      <c r="FY17" s="24"/>
      <c r="FZ17" s="20"/>
      <c r="GA17" s="20"/>
      <c r="GB17" s="21"/>
      <c r="GC17" s="24"/>
      <c r="GD17" s="20"/>
      <c r="GE17" s="20"/>
      <c r="GF17" s="21"/>
      <c r="GG17" s="24"/>
      <c r="GH17" s="20"/>
      <c r="GI17" s="20"/>
      <c r="GJ17" s="21"/>
      <c r="GK17" s="24"/>
      <c r="GL17" s="20"/>
      <c r="GM17" s="20"/>
      <c r="GN17" s="21"/>
      <c r="GO17" s="24"/>
      <c r="GP17" s="20"/>
      <c r="GQ17" s="20"/>
      <c r="GR17" s="21"/>
      <c r="GS17" s="24"/>
      <c r="GT17" s="20"/>
      <c r="GU17" s="20"/>
      <c r="GV17" s="21"/>
      <c r="GW17" s="24"/>
      <c r="GX17" s="20"/>
      <c r="GY17" s="20"/>
      <c r="GZ17" s="21"/>
      <c r="HA17" s="24"/>
      <c r="HB17" s="20"/>
      <c r="HC17" s="20"/>
      <c r="HD17" s="21"/>
      <c r="HE17" s="24"/>
      <c r="HF17" s="20"/>
      <c r="HG17" s="20"/>
      <c r="HH17" s="21"/>
      <c r="HI17" s="24"/>
      <c r="HJ17" s="20"/>
      <c r="HK17" s="20"/>
      <c r="HL17" s="21"/>
      <c r="HM17" s="24"/>
      <c r="HN17" s="20"/>
      <c r="HO17" s="20"/>
      <c r="HP17" s="21"/>
      <c r="HQ17" s="24"/>
      <c r="HR17" s="20"/>
      <c r="HS17" s="20"/>
      <c r="HT17" s="21"/>
      <c r="HU17" s="24"/>
      <c r="HV17" s="20"/>
      <c r="HW17" s="20"/>
      <c r="HX17" s="21"/>
      <c r="HY17" s="24"/>
      <c r="HZ17" s="20"/>
      <c r="IA17" s="20"/>
      <c r="IB17" s="21"/>
      <c r="IC17" s="24"/>
      <c r="ID17" s="20"/>
      <c r="IE17" s="20"/>
      <c r="IF17" s="21"/>
      <c r="IG17" s="24"/>
      <c r="IH17" s="20"/>
      <c r="II17" s="20"/>
      <c r="IJ17" s="21"/>
      <c r="IK17" s="24"/>
      <c r="IL17" s="20"/>
      <c r="IM17" s="20"/>
      <c r="IN17" s="21"/>
      <c r="IO17" s="24"/>
      <c r="IP17" s="20"/>
      <c r="IQ17" s="20"/>
      <c r="IR17" s="21"/>
      <c r="IS17" s="24"/>
      <c r="IT17" s="20"/>
      <c r="IU17" s="20"/>
      <c r="IV17" s="21"/>
    </row>
    <row r="18" spans="1:256" ht="11.25">
      <c r="A18" s="24">
        <v>38630</v>
      </c>
      <c r="B18" s="20" t="s">
        <v>125</v>
      </c>
      <c r="C18" s="132" t="s">
        <v>128</v>
      </c>
      <c r="D18" s="21" t="s">
        <v>111</v>
      </c>
      <c r="E18" s="24"/>
      <c r="F18" s="20"/>
      <c r="G18" s="20"/>
      <c r="H18" s="21"/>
      <c r="I18" s="24"/>
      <c r="J18" s="20"/>
      <c r="K18" s="20"/>
      <c r="L18" s="21"/>
      <c r="M18" s="24"/>
      <c r="N18" s="20"/>
      <c r="O18" s="20"/>
      <c r="P18" s="21"/>
      <c r="Q18" s="24"/>
      <c r="R18" s="20"/>
      <c r="S18" s="20"/>
      <c r="T18" s="21"/>
      <c r="U18" s="24"/>
      <c r="V18" s="20"/>
      <c r="W18" s="20"/>
      <c r="X18" s="21"/>
      <c r="Y18" s="24"/>
      <c r="Z18" s="20"/>
      <c r="AA18" s="20"/>
      <c r="AB18" s="21"/>
      <c r="AC18" s="24"/>
      <c r="AD18" s="20"/>
      <c r="AE18" s="20"/>
      <c r="AF18" s="21"/>
      <c r="AG18" s="24"/>
      <c r="AH18" s="20"/>
      <c r="AI18" s="20"/>
      <c r="AJ18" s="21"/>
      <c r="AK18" s="24"/>
      <c r="AL18" s="20"/>
      <c r="AM18" s="20"/>
      <c r="AN18" s="21"/>
      <c r="AO18" s="24"/>
      <c r="AP18" s="20"/>
      <c r="AQ18" s="20"/>
      <c r="AR18" s="21"/>
      <c r="AS18" s="24"/>
      <c r="AT18" s="20"/>
      <c r="AU18" s="20"/>
      <c r="AV18" s="21"/>
      <c r="AW18" s="24"/>
      <c r="AX18" s="20"/>
      <c r="AY18" s="20"/>
      <c r="AZ18" s="21"/>
      <c r="BA18" s="24"/>
      <c r="BB18" s="20"/>
      <c r="BC18" s="20"/>
      <c r="BD18" s="21"/>
      <c r="BE18" s="24"/>
      <c r="BF18" s="20"/>
      <c r="BG18" s="20"/>
      <c r="BH18" s="21"/>
      <c r="BI18" s="24"/>
      <c r="BJ18" s="20"/>
      <c r="BK18" s="20"/>
      <c r="BL18" s="21"/>
      <c r="BM18" s="24"/>
      <c r="BN18" s="20"/>
      <c r="BO18" s="20"/>
      <c r="BP18" s="21"/>
      <c r="BQ18" s="24"/>
      <c r="BR18" s="20"/>
      <c r="BS18" s="20"/>
      <c r="BT18" s="21"/>
      <c r="BU18" s="24"/>
      <c r="BV18" s="20"/>
      <c r="BW18" s="20"/>
      <c r="BX18" s="21"/>
      <c r="BY18" s="24"/>
      <c r="BZ18" s="20"/>
      <c r="CA18" s="20"/>
      <c r="CB18" s="21"/>
      <c r="CC18" s="24"/>
      <c r="CD18" s="20"/>
      <c r="CE18" s="20"/>
      <c r="CF18" s="21"/>
      <c r="CG18" s="24"/>
      <c r="CH18" s="20"/>
      <c r="CI18" s="20"/>
      <c r="CJ18" s="21"/>
      <c r="CK18" s="24"/>
      <c r="CL18" s="20"/>
      <c r="CM18" s="20"/>
      <c r="CN18" s="21"/>
      <c r="CO18" s="24"/>
      <c r="CP18" s="20"/>
      <c r="CQ18" s="20"/>
      <c r="CR18" s="21"/>
      <c r="CS18" s="24"/>
      <c r="CT18" s="20"/>
      <c r="CU18" s="20"/>
      <c r="CV18" s="21"/>
      <c r="CW18" s="24"/>
      <c r="CX18" s="20"/>
      <c r="CY18" s="20"/>
      <c r="CZ18" s="21"/>
      <c r="DA18" s="24"/>
      <c r="DB18" s="20"/>
      <c r="DC18" s="20"/>
      <c r="DD18" s="21"/>
      <c r="DE18" s="24"/>
      <c r="DF18" s="20"/>
      <c r="DG18" s="20"/>
      <c r="DH18" s="21"/>
      <c r="DI18" s="24"/>
      <c r="DJ18" s="20"/>
      <c r="DK18" s="20"/>
      <c r="DL18" s="21"/>
      <c r="DM18" s="24"/>
      <c r="DN18" s="20"/>
      <c r="DO18" s="20"/>
      <c r="DP18" s="21"/>
      <c r="DQ18" s="24"/>
      <c r="DR18" s="20"/>
      <c r="DS18" s="20"/>
      <c r="DT18" s="21"/>
      <c r="DU18" s="24"/>
      <c r="DV18" s="20"/>
      <c r="DW18" s="20"/>
      <c r="DX18" s="21"/>
      <c r="DY18" s="24"/>
      <c r="DZ18" s="20"/>
      <c r="EA18" s="20"/>
      <c r="EB18" s="21"/>
      <c r="EC18" s="24"/>
      <c r="ED18" s="20"/>
      <c r="EE18" s="20"/>
      <c r="EF18" s="21"/>
      <c r="EG18" s="24"/>
      <c r="EH18" s="20"/>
      <c r="EI18" s="20"/>
      <c r="EJ18" s="21"/>
      <c r="EK18" s="24"/>
      <c r="EL18" s="20"/>
      <c r="EM18" s="20"/>
      <c r="EN18" s="21"/>
      <c r="EO18" s="24"/>
      <c r="EP18" s="20"/>
      <c r="EQ18" s="20"/>
      <c r="ER18" s="21"/>
      <c r="ES18" s="24"/>
      <c r="ET18" s="20"/>
      <c r="EU18" s="20"/>
      <c r="EV18" s="21"/>
      <c r="EW18" s="24"/>
      <c r="EX18" s="20"/>
      <c r="EY18" s="20"/>
      <c r="EZ18" s="21"/>
      <c r="FA18" s="24"/>
      <c r="FB18" s="20"/>
      <c r="FC18" s="20"/>
      <c r="FD18" s="21"/>
      <c r="FE18" s="24"/>
      <c r="FF18" s="20"/>
      <c r="FG18" s="20"/>
      <c r="FH18" s="21"/>
      <c r="FI18" s="24"/>
      <c r="FJ18" s="20"/>
      <c r="FK18" s="20"/>
      <c r="FL18" s="21"/>
      <c r="FM18" s="24"/>
      <c r="FN18" s="20"/>
      <c r="FO18" s="20"/>
      <c r="FP18" s="21"/>
      <c r="FQ18" s="24"/>
      <c r="FR18" s="20"/>
      <c r="FS18" s="20"/>
      <c r="FT18" s="21"/>
      <c r="FU18" s="24"/>
      <c r="FV18" s="20"/>
      <c r="FW18" s="20"/>
      <c r="FX18" s="21"/>
      <c r="FY18" s="24"/>
      <c r="FZ18" s="20"/>
      <c r="GA18" s="20"/>
      <c r="GB18" s="21"/>
      <c r="GC18" s="24"/>
      <c r="GD18" s="20"/>
      <c r="GE18" s="20"/>
      <c r="GF18" s="21"/>
      <c r="GG18" s="24"/>
      <c r="GH18" s="20"/>
      <c r="GI18" s="20"/>
      <c r="GJ18" s="21"/>
      <c r="GK18" s="24"/>
      <c r="GL18" s="20"/>
      <c r="GM18" s="20"/>
      <c r="GN18" s="21"/>
      <c r="GO18" s="24"/>
      <c r="GP18" s="20"/>
      <c r="GQ18" s="20"/>
      <c r="GR18" s="21"/>
      <c r="GS18" s="24"/>
      <c r="GT18" s="20"/>
      <c r="GU18" s="20"/>
      <c r="GV18" s="21"/>
      <c r="GW18" s="24"/>
      <c r="GX18" s="20"/>
      <c r="GY18" s="20"/>
      <c r="GZ18" s="21"/>
      <c r="HA18" s="24"/>
      <c r="HB18" s="20"/>
      <c r="HC18" s="20"/>
      <c r="HD18" s="21"/>
      <c r="HE18" s="24"/>
      <c r="HF18" s="20"/>
      <c r="HG18" s="20"/>
      <c r="HH18" s="21"/>
      <c r="HI18" s="24"/>
      <c r="HJ18" s="20"/>
      <c r="HK18" s="20"/>
      <c r="HL18" s="21"/>
      <c r="HM18" s="24"/>
      <c r="HN18" s="20"/>
      <c r="HO18" s="20"/>
      <c r="HP18" s="21"/>
      <c r="HQ18" s="24"/>
      <c r="HR18" s="20"/>
      <c r="HS18" s="20"/>
      <c r="HT18" s="21"/>
      <c r="HU18" s="24"/>
      <c r="HV18" s="20"/>
      <c r="HW18" s="20"/>
      <c r="HX18" s="21"/>
      <c r="HY18" s="24"/>
      <c r="HZ18" s="20"/>
      <c r="IA18" s="20"/>
      <c r="IB18" s="21"/>
      <c r="IC18" s="24"/>
      <c r="ID18" s="20"/>
      <c r="IE18" s="20"/>
      <c r="IF18" s="21"/>
      <c r="IG18" s="24"/>
      <c r="IH18" s="20"/>
      <c r="II18" s="20"/>
      <c r="IJ18" s="21"/>
      <c r="IK18" s="24"/>
      <c r="IL18" s="20"/>
      <c r="IM18" s="20"/>
      <c r="IN18" s="21"/>
      <c r="IO18" s="24"/>
      <c r="IP18" s="20"/>
      <c r="IQ18" s="20"/>
      <c r="IR18" s="21"/>
      <c r="IS18" s="24"/>
      <c r="IT18" s="20"/>
      <c r="IU18" s="20"/>
      <c r="IV18" s="21"/>
    </row>
    <row r="19" spans="1:256" ht="11.25">
      <c r="A19" s="24">
        <v>38656</v>
      </c>
      <c r="B19" s="20" t="s">
        <v>126</v>
      </c>
      <c r="C19" s="132"/>
      <c r="D19" s="21" t="s">
        <v>112</v>
      </c>
      <c r="E19" s="24"/>
      <c r="F19" s="20"/>
      <c r="G19" s="20"/>
      <c r="H19" s="21"/>
      <c r="I19" s="24"/>
      <c r="J19" s="20"/>
      <c r="K19" s="20"/>
      <c r="L19" s="21"/>
      <c r="M19" s="24"/>
      <c r="N19" s="20"/>
      <c r="O19" s="20"/>
      <c r="P19" s="21"/>
      <c r="Q19" s="24"/>
      <c r="R19" s="20"/>
      <c r="S19" s="20"/>
      <c r="T19" s="21"/>
      <c r="U19" s="24"/>
      <c r="V19" s="20"/>
      <c r="W19" s="20"/>
      <c r="X19" s="21"/>
      <c r="Y19" s="24"/>
      <c r="Z19" s="20"/>
      <c r="AA19" s="20"/>
      <c r="AB19" s="21"/>
      <c r="AC19" s="24"/>
      <c r="AD19" s="20"/>
      <c r="AE19" s="20"/>
      <c r="AF19" s="21"/>
      <c r="AG19" s="24"/>
      <c r="AH19" s="20"/>
      <c r="AI19" s="20"/>
      <c r="AJ19" s="21"/>
      <c r="AK19" s="24"/>
      <c r="AL19" s="20"/>
      <c r="AM19" s="20"/>
      <c r="AN19" s="21"/>
      <c r="AO19" s="24"/>
      <c r="AP19" s="20"/>
      <c r="AQ19" s="20"/>
      <c r="AR19" s="21"/>
      <c r="AS19" s="24"/>
      <c r="AT19" s="20"/>
      <c r="AU19" s="20"/>
      <c r="AV19" s="21"/>
      <c r="AW19" s="24"/>
      <c r="AX19" s="20"/>
      <c r="AY19" s="20"/>
      <c r="AZ19" s="21"/>
      <c r="BA19" s="24"/>
      <c r="BB19" s="20"/>
      <c r="BC19" s="20"/>
      <c r="BD19" s="21"/>
      <c r="BE19" s="24"/>
      <c r="BF19" s="20"/>
      <c r="BG19" s="20"/>
      <c r="BH19" s="21"/>
      <c r="BI19" s="24"/>
      <c r="BJ19" s="20"/>
      <c r="BK19" s="20"/>
      <c r="BL19" s="21"/>
      <c r="BM19" s="24"/>
      <c r="BN19" s="20"/>
      <c r="BO19" s="20"/>
      <c r="BP19" s="21"/>
      <c r="BQ19" s="24"/>
      <c r="BR19" s="20"/>
      <c r="BS19" s="20"/>
      <c r="BT19" s="21"/>
      <c r="BU19" s="24"/>
      <c r="BV19" s="20"/>
      <c r="BW19" s="20"/>
      <c r="BX19" s="21"/>
      <c r="BY19" s="24"/>
      <c r="BZ19" s="20"/>
      <c r="CA19" s="20"/>
      <c r="CB19" s="21"/>
      <c r="CC19" s="24"/>
      <c r="CD19" s="20"/>
      <c r="CE19" s="20"/>
      <c r="CF19" s="21"/>
      <c r="CG19" s="24"/>
      <c r="CH19" s="20"/>
      <c r="CI19" s="20"/>
      <c r="CJ19" s="21"/>
      <c r="CK19" s="24"/>
      <c r="CL19" s="20"/>
      <c r="CM19" s="20"/>
      <c r="CN19" s="21"/>
      <c r="CO19" s="24"/>
      <c r="CP19" s="20"/>
      <c r="CQ19" s="20"/>
      <c r="CR19" s="21"/>
      <c r="CS19" s="24"/>
      <c r="CT19" s="20"/>
      <c r="CU19" s="20"/>
      <c r="CV19" s="21"/>
      <c r="CW19" s="24"/>
      <c r="CX19" s="20"/>
      <c r="CY19" s="20"/>
      <c r="CZ19" s="21"/>
      <c r="DA19" s="24"/>
      <c r="DB19" s="20"/>
      <c r="DC19" s="20"/>
      <c r="DD19" s="21"/>
      <c r="DE19" s="24"/>
      <c r="DF19" s="20"/>
      <c r="DG19" s="20"/>
      <c r="DH19" s="21"/>
      <c r="DI19" s="24"/>
      <c r="DJ19" s="20"/>
      <c r="DK19" s="20"/>
      <c r="DL19" s="21"/>
      <c r="DM19" s="24"/>
      <c r="DN19" s="20"/>
      <c r="DO19" s="20"/>
      <c r="DP19" s="21"/>
      <c r="DQ19" s="24"/>
      <c r="DR19" s="20"/>
      <c r="DS19" s="20"/>
      <c r="DT19" s="21"/>
      <c r="DU19" s="24"/>
      <c r="DV19" s="20"/>
      <c r="DW19" s="20"/>
      <c r="DX19" s="21"/>
      <c r="DY19" s="24"/>
      <c r="DZ19" s="20"/>
      <c r="EA19" s="20"/>
      <c r="EB19" s="21"/>
      <c r="EC19" s="24"/>
      <c r="ED19" s="20"/>
      <c r="EE19" s="20"/>
      <c r="EF19" s="21"/>
      <c r="EG19" s="24"/>
      <c r="EH19" s="20"/>
      <c r="EI19" s="20"/>
      <c r="EJ19" s="21"/>
      <c r="EK19" s="24"/>
      <c r="EL19" s="20"/>
      <c r="EM19" s="20"/>
      <c r="EN19" s="21"/>
      <c r="EO19" s="24"/>
      <c r="EP19" s="20"/>
      <c r="EQ19" s="20"/>
      <c r="ER19" s="21"/>
      <c r="ES19" s="24"/>
      <c r="ET19" s="20"/>
      <c r="EU19" s="20"/>
      <c r="EV19" s="21"/>
      <c r="EW19" s="24"/>
      <c r="EX19" s="20"/>
      <c r="EY19" s="20"/>
      <c r="EZ19" s="21"/>
      <c r="FA19" s="24"/>
      <c r="FB19" s="20"/>
      <c r="FC19" s="20"/>
      <c r="FD19" s="21"/>
      <c r="FE19" s="24"/>
      <c r="FF19" s="20"/>
      <c r="FG19" s="20"/>
      <c r="FH19" s="21"/>
      <c r="FI19" s="24"/>
      <c r="FJ19" s="20"/>
      <c r="FK19" s="20"/>
      <c r="FL19" s="21"/>
      <c r="FM19" s="24"/>
      <c r="FN19" s="20"/>
      <c r="FO19" s="20"/>
      <c r="FP19" s="21"/>
      <c r="FQ19" s="24"/>
      <c r="FR19" s="20"/>
      <c r="FS19" s="20"/>
      <c r="FT19" s="21"/>
      <c r="FU19" s="24"/>
      <c r="FV19" s="20"/>
      <c r="FW19" s="20"/>
      <c r="FX19" s="21"/>
      <c r="FY19" s="24"/>
      <c r="FZ19" s="20"/>
      <c r="GA19" s="20"/>
      <c r="GB19" s="21"/>
      <c r="GC19" s="24"/>
      <c r="GD19" s="20"/>
      <c r="GE19" s="20"/>
      <c r="GF19" s="21"/>
      <c r="GG19" s="24"/>
      <c r="GH19" s="20"/>
      <c r="GI19" s="20"/>
      <c r="GJ19" s="21"/>
      <c r="GK19" s="24"/>
      <c r="GL19" s="20"/>
      <c r="GM19" s="20"/>
      <c r="GN19" s="21"/>
      <c r="GO19" s="24"/>
      <c r="GP19" s="20"/>
      <c r="GQ19" s="20"/>
      <c r="GR19" s="21"/>
      <c r="GS19" s="24"/>
      <c r="GT19" s="20"/>
      <c r="GU19" s="20"/>
      <c r="GV19" s="21"/>
      <c r="GW19" s="24"/>
      <c r="GX19" s="20"/>
      <c r="GY19" s="20"/>
      <c r="GZ19" s="21"/>
      <c r="HA19" s="24"/>
      <c r="HB19" s="20"/>
      <c r="HC19" s="20"/>
      <c r="HD19" s="21"/>
      <c r="HE19" s="24"/>
      <c r="HF19" s="20"/>
      <c r="HG19" s="20"/>
      <c r="HH19" s="21"/>
      <c r="HI19" s="24"/>
      <c r="HJ19" s="20"/>
      <c r="HK19" s="20"/>
      <c r="HL19" s="21"/>
      <c r="HM19" s="24"/>
      <c r="HN19" s="20"/>
      <c r="HO19" s="20"/>
      <c r="HP19" s="21"/>
      <c r="HQ19" s="24"/>
      <c r="HR19" s="20"/>
      <c r="HS19" s="20"/>
      <c r="HT19" s="21"/>
      <c r="HU19" s="24"/>
      <c r="HV19" s="20"/>
      <c r="HW19" s="20"/>
      <c r="HX19" s="21"/>
      <c r="HY19" s="24"/>
      <c r="HZ19" s="20"/>
      <c r="IA19" s="20"/>
      <c r="IB19" s="21"/>
      <c r="IC19" s="24"/>
      <c r="ID19" s="20"/>
      <c r="IE19" s="20"/>
      <c r="IF19" s="21"/>
      <c r="IG19" s="24"/>
      <c r="IH19" s="20"/>
      <c r="II19" s="20"/>
      <c r="IJ19" s="21"/>
      <c r="IK19" s="24"/>
      <c r="IL19" s="20"/>
      <c r="IM19" s="20"/>
      <c r="IN19" s="21"/>
      <c r="IO19" s="24"/>
      <c r="IP19" s="20"/>
      <c r="IQ19" s="20"/>
      <c r="IR19" s="21"/>
      <c r="IS19" s="24"/>
      <c r="IT19" s="20"/>
      <c r="IU19" s="20"/>
      <c r="IV19" s="21"/>
    </row>
    <row r="20" spans="1:256" ht="11.25">
      <c r="A20" s="24">
        <v>38666</v>
      </c>
      <c r="B20" s="20" t="s">
        <v>130</v>
      </c>
      <c r="C20" s="20" t="s">
        <v>128</v>
      </c>
      <c r="D20" s="21" t="s">
        <v>131</v>
      </c>
      <c r="E20" s="24"/>
      <c r="F20" s="20"/>
      <c r="G20" s="20"/>
      <c r="H20" s="21"/>
      <c r="I20" s="24"/>
      <c r="J20" s="20"/>
      <c r="K20" s="20"/>
      <c r="L20" s="21"/>
      <c r="M20" s="24"/>
      <c r="N20" s="20"/>
      <c r="O20" s="20"/>
      <c r="P20" s="21"/>
      <c r="Q20" s="24"/>
      <c r="R20" s="20"/>
      <c r="S20" s="20"/>
      <c r="T20" s="21"/>
      <c r="U20" s="24"/>
      <c r="V20" s="20"/>
      <c r="W20" s="20"/>
      <c r="X20" s="21"/>
      <c r="Y20" s="24"/>
      <c r="Z20" s="20"/>
      <c r="AA20" s="20"/>
      <c r="AB20" s="21"/>
      <c r="AC20" s="24"/>
      <c r="AD20" s="20"/>
      <c r="AE20" s="20"/>
      <c r="AF20" s="21"/>
      <c r="AG20" s="24"/>
      <c r="AH20" s="20"/>
      <c r="AI20" s="20"/>
      <c r="AJ20" s="21"/>
      <c r="AK20" s="24"/>
      <c r="AL20" s="20"/>
      <c r="AM20" s="20"/>
      <c r="AN20" s="21"/>
      <c r="AO20" s="24"/>
      <c r="AP20" s="20"/>
      <c r="AQ20" s="20"/>
      <c r="AR20" s="21"/>
      <c r="AS20" s="24"/>
      <c r="AT20" s="20"/>
      <c r="AU20" s="20"/>
      <c r="AV20" s="21"/>
      <c r="AW20" s="24"/>
      <c r="AX20" s="20"/>
      <c r="AY20" s="20"/>
      <c r="AZ20" s="21"/>
      <c r="BA20" s="24"/>
      <c r="BB20" s="20"/>
      <c r="BC20" s="20"/>
      <c r="BD20" s="21"/>
      <c r="BE20" s="24"/>
      <c r="BF20" s="20"/>
      <c r="BG20" s="20"/>
      <c r="BH20" s="21"/>
      <c r="BI20" s="24"/>
      <c r="BJ20" s="20"/>
      <c r="BK20" s="20"/>
      <c r="BL20" s="21"/>
      <c r="BM20" s="24"/>
      <c r="BN20" s="20"/>
      <c r="BO20" s="20"/>
      <c r="BP20" s="21"/>
      <c r="BQ20" s="24"/>
      <c r="BR20" s="20"/>
      <c r="BS20" s="20"/>
      <c r="BT20" s="21"/>
      <c r="BU20" s="24"/>
      <c r="BV20" s="20"/>
      <c r="BW20" s="20"/>
      <c r="BX20" s="21"/>
      <c r="BY20" s="24"/>
      <c r="BZ20" s="20"/>
      <c r="CA20" s="20"/>
      <c r="CB20" s="21"/>
      <c r="CC20" s="24"/>
      <c r="CD20" s="20"/>
      <c r="CE20" s="20"/>
      <c r="CF20" s="21"/>
      <c r="CG20" s="24"/>
      <c r="CH20" s="20"/>
      <c r="CI20" s="20"/>
      <c r="CJ20" s="21"/>
      <c r="CK20" s="24"/>
      <c r="CL20" s="20"/>
      <c r="CM20" s="20"/>
      <c r="CN20" s="21"/>
      <c r="CO20" s="24"/>
      <c r="CP20" s="20"/>
      <c r="CQ20" s="20"/>
      <c r="CR20" s="21"/>
      <c r="CS20" s="24"/>
      <c r="CT20" s="20"/>
      <c r="CU20" s="20"/>
      <c r="CV20" s="21"/>
      <c r="CW20" s="24"/>
      <c r="CX20" s="20"/>
      <c r="CY20" s="20"/>
      <c r="CZ20" s="21"/>
      <c r="DA20" s="24"/>
      <c r="DB20" s="20"/>
      <c r="DC20" s="20"/>
      <c r="DD20" s="21"/>
      <c r="DE20" s="24"/>
      <c r="DF20" s="20"/>
      <c r="DG20" s="20"/>
      <c r="DH20" s="21"/>
      <c r="DI20" s="24"/>
      <c r="DJ20" s="20"/>
      <c r="DK20" s="20"/>
      <c r="DL20" s="21"/>
      <c r="DM20" s="24"/>
      <c r="DN20" s="20"/>
      <c r="DO20" s="20"/>
      <c r="DP20" s="21"/>
      <c r="DQ20" s="24"/>
      <c r="DR20" s="20"/>
      <c r="DS20" s="20"/>
      <c r="DT20" s="21"/>
      <c r="DU20" s="24"/>
      <c r="DV20" s="20"/>
      <c r="DW20" s="20"/>
      <c r="DX20" s="21"/>
      <c r="DY20" s="24"/>
      <c r="DZ20" s="20"/>
      <c r="EA20" s="20"/>
      <c r="EB20" s="21"/>
      <c r="EC20" s="24"/>
      <c r="ED20" s="20"/>
      <c r="EE20" s="20"/>
      <c r="EF20" s="21"/>
      <c r="EG20" s="24"/>
      <c r="EH20" s="20"/>
      <c r="EI20" s="20"/>
      <c r="EJ20" s="21"/>
      <c r="EK20" s="24"/>
      <c r="EL20" s="20"/>
      <c r="EM20" s="20"/>
      <c r="EN20" s="21"/>
      <c r="EO20" s="24"/>
      <c r="EP20" s="20"/>
      <c r="EQ20" s="20"/>
      <c r="ER20" s="21"/>
      <c r="ES20" s="24"/>
      <c r="ET20" s="20"/>
      <c r="EU20" s="20"/>
      <c r="EV20" s="21"/>
      <c r="EW20" s="24"/>
      <c r="EX20" s="20"/>
      <c r="EY20" s="20"/>
      <c r="EZ20" s="21"/>
      <c r="FA20" s="24"/>
      <c r="FB20" s="20"/>
      <c r="FC20" s="20"/>
      <c r="FD20" s="21"/>
      <c r="FE20" s="24"/>
      <c r="FF20" s="20"/>
      <c r="FG20" s="20"/>
      <c r="FH20" s="21"/>
      <c r="FI20" s="24"/>
      <c r="FJ20" s="20"/>
      <c r="FK20" s="20"/>
      <c r="FL20" s="21"/>
      <c r="FM20" s="24"/>
      <c r="FN20" s="20"/>
      <c r="FO20" s="20"/>
      <c r="FP20" s="21"/>
      <c r="FQ20" s="24"/>
      <c r="FR20" s="20"/>
      <c r="FS20" s="20"/>
      <c r="FT20" s="21"/>
      <c r="FU20" s="24"/>
      <c r="FV20" s="20"/>
      <c r="FW20" s="20"/>
      <c r="FX20" s="21"/>
      <c r="FY20" s="24"/>
      <c r="FZ20" s="20"/>
      <c r="GA20" s="20"/>
      <c r="GB20" s="21"/>
      <c r="GC20" s="24"/>
      <c r="GD20" s="20"/>
      <c r="GE20" s="20"/>
      <c r="GF20" s="21"/>
      <c r="GG20" s="24"/>
      <c r="GH20" s="20"/>
      <c r="GI20" s="20"/>
      <c r="GJ20" s="21"/>
      <c r="GK20" s="24"/>
      <c r="GL20" s="20"/>
      <c r="GM20" s="20"/>
      <c r="GN20" s="21"/>
      <c r="GO20" s="24"/>
      <c r="GP20" s="20"/>
      <c r="GQ20" s="20"/>
      <c r="GR20" s="21"/>
      <c r="GS20" s="24"/>
      <c r="GT20" s="20"/>
      <c r="GU20" s="20"/>
      <c r="GV20" s="21"/>
      <c r="GW20" s="24"/>
      <c r="GX20" s="20"/>
      <c r="GY20" s="20"/>
      <c r="GZ20" s="21"/>
      <c r="HA20" s="24"/>
      <c r="HB20" s="20"/>
      <c r="HC20" s="20"/>
      <c r="HD20" s="21"/>
      <c r="HE20" s="24"/>
      <c r="HF20" s="20"/>
      <c r="HG20" s="20"/>
      <c r="HH20" s="21"/>
      <c r="HI20" s="24"/>
      <c r="HJ20" s="20"/>
      <c r="HK20" s="20"/>
      <c r="HL20" s="21"/>
      <c r="HM20" s="24"/>
      <c r="HN20" s="20"/>
      <c r="HO20" s="20"/>
      <c r="HP20" s="21"/>
      <c r="HQ20" s="24"/>
      <c r="HR20" s="20"/>
      <c r="HS20" s="20"/>
      <c r="HT20" s="21"/>
      <c r="HU20" s="24"/>
      <c r="HV20" s="20"/>
      <c r="HW20" s="20"/>
      <c r="HX20" s="21"/>
      <c r="HY20" s="24"/>
      <c r="HZ20" s="20"/>
      <c r="IA20" s="20"/>
      <c r="IB20" s="21"/>
      <c r="IC20" s="24"/>
      <c r="ID20" s="20"/>
      <c r="IE20" s="20"/>
      <c r="IF20" s="21"/>
      <c r="IG20" s="24"/>
      <c r="IH20" s="20"/>
      <c r="II20" s="20"/>
      <c r="IJ20" s="21"/>
      <c r="IK20" s="24"/>
      <c r="IL20" s="20"/>
      <c r="IM20" s="20"/>
      <c r="IN20" s="21"/>
      <c r="IO20" s="24"/>
      <c r="IP20" s="20"/>
      <c r="IQ20" s="20"/>
      <c r="IR20" s="21"/>
      <c r="IS20" s="24"/>
      <c r="IT20" s="20"/>
      <c r="IU20" s="20"/>
      <c r="IV20" s="21"/>
    </row>
    <row r="21" spans="1:256" ht="11.25">
      <c r="A21" s="24">
        <v>38706</v>
      </c>
      <c r="B21" s="20" t="s">
        <v>137</v>
      </c>
      <c r="D21" s="21" t="s">
        <v>136</v>
      </c>
      <c r="E21" s="24"/>
      <c r="F21" s="20"/>
      <c r="G21" s="20"/>
      <c r="H21" s="21"/>
      <c r="I21" s="24"/>
      <c r="J21" s="20"/>
      <c r="K21" s="20"/>
      <c r="L21" s="21"/>
      <c r="M21" s="24"/>
      <c r="N21" s="20"/>
      <c r="O21" s="20"/>
      <c r="P21" s="21"/>
      <c r="Q21" s="24"/>
      <c r="R21" s="20"/>
      <c r="S21" s="20"/>
      <c r="T21" s="21"/>
      <c r="U21" s="24"/>
      <c r="V21" s="20"/>
      <c r="W21" s="20"/>
      <c r="X21" s="21"/>
      <c r="Y21" s="24"/>
      <c r="Z21" s="20"/>
      <c r="AA21" s="20"/>
      <c r="AB21" s="21"/>
      <c r="AC21" s="24"/>
      <c r="AD21" s="20"/>
      <c r="AE21" s="20"/>
      <c r="AF21" s="21"/>
      <c r="AG21" s="24"/>
      <c r="AH21" s="20"/>
      <c r="AI21" s="20"/>
      <c r="AJ21" s="21"/>
      <c r="AK21" s="24"/>
      <c r="AL21" s="20"/>
      <c r="AM21" s="20"/>
      <c r="AN21" s="21"/>
      <c r="AO21" s="24"/>
      <c r="AP21" s="20"/>
      <c r="AQ21" s="20"/>
      <c r="AR21" s="21"/>
      <c r="AS21" s="24"/>
      <c r="AT21" s="20"/>
      <c r="AU21" s="20"/>
      <c r="AV21" s="21"/>
      <c r="AW21" s="24"/>
      <c r="AX21" s="20"/>
      <c r="AY21" s="20"/>
      <c r="AZ21" s="21"/>
      <c r="BA21" s="24"/>
      <c r="BB21" s="20"/>
      <c r="BC21" s="20"/>
      <c r="BD21" s="21"/>
      <c r="BE21" s="24"/>
      <c r="BF21" s="20"/>
      <c r="BG21" s="20"/>
      <c r="BH21" s="21"/>
      <c r="BI21" s="24"/>
      <c r="BJ21" s="20"/>
      <c r="BK21" s="20"/>
      <c r="BL21" s="21"/>
      <c r="BM21" s="24"/>
      <c r="BN21" s="20"/>
      <c r="BO21" s="20"/>
      <c r="BP21" s="21"/>
      <c r="BQ21" s="24"/>
      <c r="BR21" s="20"/>
      <c r="BS21" s="20"/>
      <c r="BT21" s="21"/>
      <c r="BU21" s="24"/>
      <c r="BV21" s="20"/>
      <c r="BW21" s="20"/>
      <c r="BX21" s="21"/>
      <c r="BY21" s="24"/>
      <c r="BZ21" s="20"/>
      <c r="CA21" s="20"/>
      <c r="CB21" s="21"/>
      <c r="CC21" s="24"/>
      <c r="CD21" s="20"/>
      <c r="CE21" s="20"/>
      <c r="CF21" s="21"/>
      <c r="CG21" s="24"/>
      <c r="CH21" s="20"/>
      <c r="CI21" s="20"/>
      <c r="CJ21" s="21"/>
      <c r="CK21" s="24"/>
      <c r="CL21" s="20"/>
      <c r="CM21" s="20"/>
      <c r="CN21" s="21"/>
      <c r="CO21" s="24"/>
      <c r="CP21" s="20"/>
      <c r="CQ21" s="20"/>
      <c r="CR21" s="21"/>
      <c r="CS21" s="24"/>
      <c r="CT21" s="20"/>
      <c r="CU21" s="20"/>
      <c r="CV21" s="21"/>
      <c r="CW21" s="24"/>
      <c r="CX21" s="20"/>
      <c r="CY21" s="20"/>
      <c r="CZ21" s="21"/>
      <c r="DA21" s="24"/>
      <c r="DB21" s="20"/>
      <c r="DC21" s="20"/>
      <c r="DD21" s="21"/>
      <c r="DE21" s="24"/>
      <c r="DF21" s="20"/>
      <c r="DG21" s="20"/>
      <c r="DH21" s="21"/>
      <c r="DI21" s="24"/>
      <c r="DJ21" s="20"/>
      <c r="DK21" s="20"/>
      <c r="DL21" s="21"/>
      <c r="DM21" s="24"/>
      <c r="DN21" s="20"/>
      <c r="DO21" s="20"/>
      <c r="DP21" s="21"/>
      <c r="DQ21" s="24"/>
      <c r="DR21" s="20"/>
      <c r="DS21" s="20"/>
      <c r="DT21" s="21"/>
      <c r="DU21" s="24"/>
      <c r="DV21" s="20"/>
      <c r="DW21" s="20"/>
      <c r="DX21" s="21"/>
      <c r="DY21" s="24"/>
      <c r="DZ21" s="20"/>
      <c r="EA21" s="20"/>
      <c r="EB21" s="21"/>
      <c r="EC21" s="24"/>
      <c r="ED21" s="20"/>
      <c r="EE21" s="20"/>
      <c r="EF21" s="21"/>
      <c r="EG21" s="24"/>
      <c r="EH21" s="20"/>
      <c r="EI21" s="20"/>
      <c r="EJ21" s="21"/>
      <c r="EK21" s="24"/>
      <c r="EL21" s="20"/>
      <c r="EM21" s="20"/>
      <c r="EN21" s="21"/>
      <c r="EO21" s="24"/>
      <c r="EP21" s="20"/>
      <c r="EQ21" s="20"/>
      <c r="ER21" s="21"/>
      <c r="ES21" s="24"/>
      <c r="ET21" s="20"/>
      <c r="EU21" s="20"/>
      <c r="EV21" s="21"/>
      <c r="EW21" s="24"/>
      <c r="EX21" s="20"/>
      <c r="EY21" s="20"/>
      <c r="EZ21" s="21"/>
      <c r="FA21" s="24"/>
      <c r="FB21" s="20"/>
      <c r="FC21" s="20"/>
      <c r="FD21" s="21"/>
      <c r="FE21" s="24"/>
      <c r="FF21" s="20"/>
      <c r="FG21" s="20"/>
      <c r="FH21" s="21"/>
      <c r="FI21" s="24"/>
      <c r="FJ21" s="20"/>
      <c r="FK21" s="20"/>
      <c r="FL21" s="21"/>
      <c r="FM21" s="24"/>
      <c r="FN21" s="20"/>
      <c r="FO21" s="20"/>
      <c r="FP21" s="21"/>
      <c r="FQ21" s="24"/>
      <c r="FR21" s="20"/>
      <c r="FS21" s="20"/>
      <c r="FT21" s="21"/>
      <c r="FU21" s="24"/>
      <c r="FV21" s="20"/>
      <c r="FW21" s="20"/>
      <c r="FX21" s="21"/>
      <c r="FY21" s="24"/>
      <c r="FZ21" s="20"/>
      <c r="GA21" s="20"/>
      <c r="GB21" s="21"/>
      <c r="GC21" s="24"/>
      <c r="GD21" s="20"/>
      <c r="GE21" s="20"/>
      <c r="GF21" s="21"/>
      <c r="GG21" s="24"/>
      <c r="GH21" s="20"/>
      <c r="GI21" s="20"/>
      <c r="GJ21" s="21"/>
      <c r="GK21" s="24"/>
      <c r="GL21" s="20"/>
      <c r="GM21" s="20"/>
      <c r="GN21" s="21"/>
      <c r="GO21" s="24"/>
      <c r="GP21" s="20"/>
      <c r="GQ21" s="20"/>
      <c r="GR21" s="21"/>
      <c r="GS21" s="24"/>
      <c r="GT21" s="20"/>
      <c r="GU21" s="20"/>
      <c r="GV21" s="21"/>
      <c r="GW21" s="24"/>
      <c r="GX21" s="20"/>
      <c r="GY21" s="20"/>
      <c r="GZ21" s="21"/>
      <c r="HA21" s="24"/>
      <c r="HB21" s="20"/>
      <c r="HC21" s="20"/>
      <c r="HD21" s="21"/>
      <c r="HE21" s="24"/>
      <c r="HF21" s="20"/>
      <c r="HG21" s="20"/>
      <c r="HH21" s="21"/>
      <c r="HI21" s="24"/>
      <c r="HJ21" s="20"/>
      <c r="HK21" s="20"/>
      <c r="HL21" s="21"/>
      <c r="HM21" s="24"/>
      <c r="HN21" s="20"/>
      <c r="HO21" s="20"/>
      <c r="HP21" s="21"/>
      <c r="HQ21" s="24"/>
      <c r="HR21" s="20"/>
      <c r="HS21" s="20"/>
      <c r="HT21" s="21"/>
      <c r="HU21" s="24"/>
      <c r="HV21" s="20"/>
      <c r="HW21" s="20"/>
      <c r="HX21" s="21"/>
      <c r="HY21" s="24"/>
      <c r="HZ21" s="20"/>
      <c r="IA21" s="20"/>
      <c r="IB21" s="21"/>
      <c r="IC21" s="24"/>
      <c r="ID21" s="20"/>
      <c r="IE21" s="20"/>
      <c r="IF21" s="21"/>
      <c r="IG21" s="24"/>
      <c r="IH21" s="20"/>
      <c r="II21" s="20"/>
      <c r="IJ21" s="21"/>
      <c r="IK21" s="24"/>
      <c r="IL21" s="20"/>
      <c r="IM21" s="20"/>
      <c r="IN21" s="21"/>
      <c r="IO21" s="24"/>
      <c r="IP21" s="20"/>
      <c r="IQ21" s="20"/>
      <c r="IR21" s="21"/>
      <c r="IS21" s="24"/>
      <c r="IT21" s="20"/>
      <c r="IU21" s="20"/>
      <c r="IV21" s="21"/>
    </row>
    <row r="22" spans="1:256" ht="11.25">
      <c r="A22" s="24">
        <v>38778</v>
      </c>
      <c r="B22" s="20" t="s">
        <v>138</v>
      </c>
      <c r="D22" s="21" t="s">
        <v>142</v>
      </c>
      <c r="E22" s="24"/>
      <c r="F22" s="20"/>
      <c r="G22" s="20"/>
      <c r="H22" s="21"/>
      <c r="I22" s="24"/>
      <c r="J22" s="20"/>
      <c r="K22" s="20"/>
      <c r="L22" s="21"/>
      <c r="M22" s="24"/>
      <c r="N22" s="20"/>
      <c r="O22" s="20"/>
      <c r="P22" s="21"/>
      <c r="Q22" s="24"/>
      <c r="R22" s="20"/>
      <c r="S22" s="20"/>
      <c r="T22" s="21"/>
      <c r="U22" s="24"/>
      <c r="V22" s="20"/>
      <c r="W22" s="20"/>
      <c r="X22" s="21"/>
      <c r="Y22" s="24"/>
      <c r="Z22" s="20"/>
      <c r="AA22" s="20"/>
      <c r="AB22" s="21"/>
      <c r="AC22" s="24"/>
      <c r="AD22" s="20"/>
      <c r="AE22" s="20"/>
      <c r="AF22" s="21"/>
      <c r="AG22" s="24"/>
      <c r="AH22" s="20"/>
      <c r="AI22" s="20"/>
      <c r="AJ22" s="21"/>
      <c r="AK22" s="24"/>
      <c r="AL22" s="20"/>
      <c r="AM22" s="20"/>
      <c r="AN22" s="21"/>
      <c r="AO22" s="24"/>
      <c r="AP22" s="20"/>
      <c r="AQ22" s="20"/>
      <c r="AR22" s="21"/>
      <c r="AS22" s="24"/>
      <c r="AT22" s="20"/>
      <c r="AU22" s="20"/>
      <c r="AV22" s="21"/>
      <c r="AW22" s="24"/>
      <c r="AX22" s="20"/>
      <c r="AY22" s="20"/>
      <c r="AZ22" s="21"/>
      <c r="BA22" s="24"/>
      <c r="BB22" s="20"/>
      <c r="BC22" s="20"/>
      <c r="BD22" s="21"/>
      <c r="BE22" s="24"/>
      <c r="BF22" s="20"/>
      <c r="BG22" s="20"/>
      <c r="BH22" s="21"/>
      <c r="BI22" s="24"/>
      <c r="BJ22" s="20"/>
      <c r="BK22" s="20"/>
      <c r="BL22" s="21"/>
      <c r="BM22" s="24"/>
      <c r="BN22" s="20"/>
      <c r="BO22" s="20"/>
      <c r="BP22" s="21"/>
      <c r="BQ22" s="24"/>
      <c r="BR22" s="20"/>
      <c r="BS22" s="20"/>
      <c r="BT22" s="21"/>
      <c r="BU22" s="24"/>
      <c r="BV22" s="20"/>
      <c r="BW22" s="20"/>
      <c r="BX22" s="21"/>
      <c r="BY22" s="24"/>
      <c r="BZ22" s="20"/>
      <c r="CA22" s="20"/>
      <c r="CB22" s="21"/>
      <c r="CC22" s="24"/>
      <c r="CD22" s="20"/>
      <c r="CE22" s="20"/>
      <c r="CF22" s="21"/>
      <c r="CG22" s="24"/>
      <c r="CH22" s="20"/>
      <c r="CI22" s="20"/>
      <c r="CJ22" s="21"/>
      <c r="CK22" s="24"/>
      <c r="CL22" s="20"/>
      <c r="CM22" s="20"/>
      <c r="CN22" s="21"/>
      <c r="CO22" s="24"/>
      <c r="CP22" s="20"/>
      <c r="CQ22" s="20"/>
      <c r="CR22" s="21"/>
      <c r="CS22" s="24"/>
      <c r="CT22" s="20"/>
      <c r="CU22" s="20"/>
      <c r="CV22" s="21"/>
      <c r="CW22" s="24"/>
      <c r="CX22" s="20"/>
      <c r="CY22" s="20"/>
      <c r="CZ22" s="21"/>
      <c r="DA22" s="24"/>
      <c r="DB22" s="20"/>
      <c r="DC22" s="20"/>
      <c r="DD22" s="21"/>
      <c r="DE22" s="24"/>
      <c r="DF22" s="20"/>
      <c r="DG22" s="20"/>
      <c r="DH22" s="21"/>
      <c r="DI22" s="24"/>
      <c r="DJ22" s="20"/>
      <c r="DK22" s="20"/>
      <c r="DL22" s="21"/>
      <c r="DM22" s="24"/>
      <c r="DN22" s="20"/>
      <c r="DO22" s="20"/>
      <c r="DP22" s="21"/>
      <c r="DQ22" s="24"/>
      <c r="DR22" s="20"/>
      <c r="DS22" s="20"/>
      <c r="DT22" s="21"/>
      <c r="DU22" s="24"/>
      <c r="DV22" s="20"/>
      <c r="DW22" s="20"/>
      <c r="DX22" s="21"/>
      <c r="DY22" s="24"/>
      <c r="DZ22" s="20"/>
      <c r="EA22" s="20"/>
      <c r="EB22" s="21"/>
      <c r="EC22" s="24"/>
      <c r="ED22" s="20"/>
      <c r="EE22" s="20"/>
      <c r="EF22" s="21"/>
      <c r="EG22" s="24"/>
      <c r="EH22" s="20"/>
      <c r="EI22" s="20"/>
      <c r="EJ22" s="21"/>
      <c r="EK22" s="24"/>
      <c r="EL22" s="20"/>
      <c r="EM22" s="20"/>
      <c r="EN22" s="21"/>
      <c r="EO22" s="24"/>
      <c r="EP22" s="20"/>
      <c r="EQ22" s="20"/>
      <c r="ER22" s="21"/>
      <c r="ES22" s="24"/>
      <c r="ET22" s="20"/>
      <c r="EU22" s="20"/>
      <c r="EV22" s="21"/>
      <c r="EW22" s="24"/>
      <c r="EX22" s="20"/>
      <c r="EY22" s="20"/>
      <c r="EZ22" s="21"/>
      <c r="FA22" s="24"/>
      <c r="FB22" s="20"/>
      <c r="FC22" s="20"/>
      <c r="FD22" s="21"/>
      <c r="FE22" s="24"/>
      <c r="FF22" s="20"/>
      <c r="FG22" s="20"/>
      <c r="FH22" s="21"/>
      <c r="FI22" s="24"/>
      <c r="FJ22" s="20"/>
      <c r="FK22" s="20"/>
      <c r="FL22" s="21"/>
      <c r="FM22" s="24"/>
      <c r="FN22" s="20"/>
      <c r="FO22" s="20"/>
      <c r="FP22" s="21"/>
      <c r="FQ22" s="24"/>
      <c r="FR22" s="20"/>
      <c r="FS22" s="20"/>
      <c r="FT22" s="21"/>
      <c r="FU22" s="24"/>
      <c r="FV22" s="20"/>
      <c r="FW22" s="20"/>
      <c r="FX22" s="21"/>
      <c r="FY22" s="24"/>
      <c r="FZ22" s="20"/>
      <c r="GA22" s="20"/>
      <c r="GB22" s="21"/>
      <c r="GC22" s="24"/>
      <c r="GD22" s="20"/>
      <c r="GE22" s="20"/>
      <c r="GF22" s="21"/>
      <c r="GG22" s="24"/>
      <c r="GH22" s="20"/>
      <c r="GI22" s="20"/>
      <c r="GJ22" s="21"/>
      <c r="GK22" s="24"/>
      <c r="GL22" s="20"/>
      <c r="GM22" s="20"/>
      <c r="GN22" s="21"/>
      <c r="GO22" s="24"/>
      <c r="GP22" s="20"/>
      <c r="GQ22" s="20"/>
      <c r="GR22" s="21"/>
      <c r="GS22" s="24"/>
      <c r="GT22" s="20"/>
      <c r="GU22" s="20"/>
      <c r="GV22" s="21"/>
      <c r="GW22" s="24"/>
      <c r="GX22" s="20"/>
      <c r="GY22" s="20"/>
      <c r="GZ22" s="21"/>
      <c r="HA22" s="24"/>
      <c r="HB22" s="20"/>
      <c r="HC22" s="20"/>
      <c r="HD22" s="21"/>
      <c r="HE22" s="24"/>
      <c r="HF22" s="20"/>
      <c r="HG22" s="20"/>
      <c r="HH22" s="21"/>
      <c r="HI22" s="24"/>
      <c r="HJ22" s="20"/>
      <c r="HK22" s="20"/>
      <c r="HL22" s="21"/>
      <c r="HM22" s="24"/>
      <c r="HN22" s="20"/>
      <c r="HO22" s="20"/>
      <c r="HP22" s="21"/>
      <c r="HQ22" s="24"/>
      <c r="HR22" s="20"/>
      <c r="HS22" s="20"/>
      <c r="HT22" s="21"/>
      <c r="HU22" s="24"/>
      <c r="HV22" s="20"/>
      <c r="HW22" s="20"/>
      <c r="HX22" s="21"/>
      <c r="HY22" s="24"/>
      <c r="HZ22" s="20"/>
      <c r="IA22" s="20"/>
      <c r="IB22" s="21"/>
      <c r="IC22" s="24"/>
      <c r="ID22" s="20"/>
      <c r="IE22" s="20"/>
      <c r="IF22" s="21"/>
      <c r="IG22" s="24"/>
      <c r="IH22" s="20"/>
      <c r="II22" s="20"/>
      <c r="IJ22" s="21"/>
      <c r="IK22" s="24"/>
      <c r="IL22" s="20"/>
      <c r="IM22" s="20"/>
      <c r="IN22" s="21"/>
      <c r="IO22" s="24"/>
      <c r="IP22" s="20"/>
      <c r="IQ22" s="20"/>
      <c r="IR22" s="21"/>
      <c r="IS22" s="24"/>
      <c r="IT22" s="20"/>
      <c r="IU22" s="20"/>
      <c r="IV22" s="21"/>
    </row>
    <row r="23" spans="1:256" ht="11.25">
      <c r="A23" s="24">
        <v>38803</v>
      </c>
      <c r="B23" s="20" t="s">
        <v>143</v>
      </c>
      <c r="C23" s="20" t="s">
        <v>128</v>
      </c>
      <c r="D23" s="21" t="s">
        <v>145</v>
      </c>
      <c r="E23" s="24"/>
      <c r="F23" s="20"/>
      <c r="G23" s="20"/>
      <c r="H23" s="21"/>
      <c r="I23" s="24"/>
      <c r="J23" s="20"/>
      <c r="K23" s="20"/>
      <c r="L23" s="21"/>
      <c r="M23" s="24"/>
      <c r="N23" s="20"/>
      <c r="O23" s="20"/>
      <c r="P23" s="21"/>
      <c r="Q23" s="24"/>
      <c r="R23" s="20"/>
      <c r="S23" s="20"/>
      <c r="T23" s="21"/>
      <c r="U23" s="24"/>
      <c r="V23" s="20"/>
      <c r="W23" s="20"/>
      <c r="X23" s="21"/>
      <c r="Y23" s="24"/>
      <c r="Z23" s="20"/>
      <c r="AA23" s="20"/>
      <c r="AB23" s="21"/>
      <c r="AC23" s="24"/>
      <c r="AD23" s="20"/>
      <c r="AE23" s="20"/>
      <c r="AF23" s="21"/>
      <c r="AG23" s="24"/>
      <c r="AH23" s="20"/>
      <c r="AI23" s="20"/>
      <c r="AJ23" s="21"/>
      <c r="AK23" s="24"/>
      <c r="AL23" s="20"/>
      <c r="AM23" s="20"/>
      <c r="AN23" s="21"/>
      <c r="AO23" s="24"/>
      <c r="AP23" s="20"/>
      <c r="AQ23" s="20"/>
      <c r="AR23" s="21"/>
      <c r="AS23" s="24"/>
      <c r="AT23" s="20"/>
      <c r="AU23" s="20"/>
      <c r="AV23" s="21"/>
      <c r="AW23" s="24"/>
      <c r="AX23" s="20"/>
      <c r="AY23" s="20"/>
      <c r="AZ23" s="21"/>
      <c r="BA23" s="24"/>
      <c r="BB23" s="20"/>
      <c r="BC23" s="20"/>
      <c r="BD23" s="21"/>
      <c r="BE23" s="24"/>
      <c r="BF23" s="20"/>
      <c r="BG23" s="20"/>
      <c r="BH23" s="21"/>
      <c r="BI23" s="24"/>
      <c r="BJ23" s="20"/>
      <c r="BK23" s="20"/>
      <c r="BL23" s="21"/>
      <c r="BM23" s="24"/>
      <c r="BN23" s="20"/>
      <c r="BO23" s="20"/>
      <c r="BP23" s="21"/>
      <c r="BQ23" s="24"/>
      <c r="BR23" s="20"/>
      <c r="BS23" s="20"/>
      <c r="BT23" s="21"/>
      <c r="BU23" s="24"/>
      <c r="BV23" s="20"/>
      <c r="BW23" s="20"/>
      <c r="BX23" s="21"/>
      <c r="BY23" s="24"/>
      <c r="BZ23" s="20"/>
      <c r="CA23" s="20"/>
      <c r="CB23" s="21"/>
      <c r="CC23" s="24"/>
      <c r="CD23" s="20"/>
      <c r="CE23" s="20"/>
      <c r="CF23" s="21"/>
      <c r="CG23" s="24"/>
      <c r="CH23" s="20"/>
      <c r="CI23" s="20"/>
      <c r="CJ23" s="21"/>
      <c r="CK23" s="24"/>
      <c r="CL23" s="20"/>
      <c r="CM23" s="20"/>
      <c r="CN23" s="21"/>
      <c r="CO23" s="24"/>
      <c r="CP23" s="20"/>
      <c r="CQ23" s="20"/>
      <c r="CR23" s="21"/>
      <c r="CS23" s="24"/>
      <c r="CT23" s="20"/>
      <c r="CU23" s="20"/>
      <c r="CV23" s="21"/>
      <c r="CW23" s="24"/>
      <c r="CX23" s="20"/>
      <c r="CY23" s="20"/>
      <c r="CZ23" s="21"/>
      <c r="DA23" s="24"/>
      <c r="DB23" s="20"/>
      <c r="DC23" s="20"/>
      <c r="DD23" s="21"/>
      <c r="DE23" s="24"/>
      <c r="DF23" s="20"/>
      <c r="DG23" s="20"/>
      <c r="DH23" s="21"/>
      <c r="DI23" s="24"/>
      <c r="DJ23" s="20"/>
      <c r="DK23" s="20"/>
      <c r="DL23" s="21"/>
      <c r="DM23" s="24"/>
      <c r="DN23" s="20"/>
      <c r="DO23" s="20"/>
      <c r="DP23" s="21"/>
      <c r="DQ23" s="24"/>
      <c r="DR23" s="20"/>
      <c r="DS23" s="20"/>
      <c r="DT23" s="21"/>
      <c r="DU23" s="24"/>
      <c r="DV23" s="20"/>
      <c r="DW23" s="20"/>
      <c r="DX23" s="21"/>
      <c r="DY23" s="24"/>
      <c r="DZ23" s="20"/>
      <c r="EA23" s="20"/>
      <c r="EB23" s="21"/>
      <c r="EC23" s="24"/>
      <c r="ED23" s="20"/>
      <c r="EE23" s="20"/>
      <c r="EF23" s="21"/>
      <c r="EG23" s="24"/>
      <c r="EH23" s="20"/>
      <c r="EI23" s="20"/>
      <c r="EJ23" s="21"/>
      <c r="EK23" s="24"/>
      <c r="EL23" s="20"/>
      <c r="EM23" s="20"/>
      <c r="EN23" s="21"/>
      <c r="EO23" s="24"/>
      <c r="EP23" s="20"/>
      <c r="EQ23" s="20"/>
      <c r="ER23" s="21"/>
      <c r="ES23" s="24"/>
      <c r="ET23" s="20"/>
      <c r="EU23" s="20"/>
      <c r="EV23" s="21"/>
      <c r="EW23" s="24"/>
      <c r="EX23" s="20"/>
      <c r="EY23" s="20"/>
      <c r="EZ23" s="21"/>
      <c r="FA23" s="24"/>
      <c r="FB23" s="20"/>
      <c r="FC23" s="20"/>
      <c r="FD23" s="21"/>
      <c r="FE23" s="24"/>
      <c r="FF23" s="20"/>
      <c r="FG23" s="20"/>
      <c r="FH23" s="21"/>
      <c r="FI23" s="24"/>
      <c r="FJ23" s="20"/>
      <c r="FK23" s="20"/>
      <c r="FL23" s="21"/>
      <c r="FM23" s="24"/>
      <c r="FN23" s="20"/>
      <c r="FO23" s="20"/>
      <c r="FP23" s="21"/>
      <c r="FQ23" s="24"/>
      <c r="FR23" s="20"/>
      <c r="FS23" s="20"/>
      <c r="FT23" s="21"/>
      <c r="FU23" s="24"/>
      <c r="FV23" s="20"/>
      <c r="FW23" s="20"/>
      <c r="FX23" s="21"/>
      <c r="FY23" s="24"/>
      <c r="FZ23" s="20"/>
      <c r="GA23" s="20"/>
      <c r="GB23" s="21"/>
      <c r="GC23" s="24"/>
      <c r="GD23" s="20"/>
      <c r="GE23" s="20"/>
      <c r="GF23" s="21"/>
      <c r="GG23" s="24"/>
      <c r="GH23" s="20"/>
      <c r="GI23" s="20"/>
      <c r="GJ23" s="21"/>
      <c r="GK23" s="24"/>
      <c r="GL23" s="20"/>
      <c r="GM23" s="20"/>
      <c r="GN23" s="21"/>
      <c r="GO23" s="24"/>
      <c r="GP23" s="20"/>
      <c r="GQ23" s="20"/>
      <c r="GR23" s="21"/>
      <c r="GS23" s="24"/>
      <c r="GT23" s="20"/>
      <c r="GU23" s="20"/>
      <c r="GV23" s="21"/>
      <c r="GW23" s="24"/>
      <c r="GX23" s="20"/>
      <c r="GY23" s="20"/>
      <c r="GZ23" s="21"/>
      <c r="HA23" s="24"/>
      <c r="HB23" s="20"/>
      <c r="HC23" s="20"/>
      <c r="HD23" s="21"/>
      <c r="HE23" s="24"/>
      <c r="HF23" s="20"/>
      <c r="HG23" s="20"/>
      <c r="HH23" s="21"/>
      <c r="HI23" s="24"/>
      <c r="HJ23" s="20"/>
      <c r="HK23" s="20"/>
      <c r="HL23" s="21"/>
      <c r="HM23" s="24"/>
      <c r="HN23" s="20"/>
      <c r="HO23" s="20"/>
      <c r="HP23" s="21"/>
      <c r="HQ23" s="24"/>
      <c r="HR23" s="20"/>
      <c r="HS23" s="20"/>
      <c r="HT23" s="21"/>
      <c r="HU23" s="24"/>
      <c r="HV23" s="20"/>
      <c r="HW23" s="20"/>
      <c r="HX23" s="21"/>
      <c r="HY23" s="24"/>
      <c r="HZ23" s="20"/>
      <c r="IA23" s="20"/>
      <c r="IB23" s="21"/>
      <c r="IC23" s="24"/>
      <c r="ID23" s="20"/>
      <c r="IE23" s="20"/>
      <c r="IF23" s="21"/>
      <c r="IG23" s="24"/>
      <c r="IH23" s="20"/>
      <c r="II23" s="20"/>
      <c r="IJ23" s="21"/>
      <c r="IK23" s="24"/>
      <c r="IL23" s="20"/>
      <c r="IM23" s="20"/>
      <c r="IN23" s="21"/>
      <c r="IO23" s="24"/>
      <c r="IP23" s="20"/>
      <c r="IQ23" s="20"/>
      <c r="IR23" s="21"/>
      <c r="IS23" s="24"/>
      <c r="IT23" s="20"/>
      <c r="IU23" s="20"/>
      <c r="IV23" s="21"/>
    </row>
    <row r="24" spans="1:4" ht="11.25">
      <c r="A24" s="24">
        <v>38848</v>
      </c>
      <c r="B24" s="20" t="s">
        <v>146</v>
      </c>
      <c r="C24" s="20" t="s">
        <v>128</v>
      </c>
      <c r="D24" s="21" t="s">
        <v>150</v>
      </c>
    </row>
    <row r="25" spans="1:4" ht="11.25">
      <c r="A25" s="24">
        <v>38852</v>
      </c>
      <c r="B25" s="20" t="s">
        <v>149</v>
      </c>
      <c r="C25" s="20" t="s">
        <v>128</v>
      </c>
      <c r="D25" s="21" t="s">
        <v>152</v>
      </c>
    </row>
    <row r="26" spans="1:4" ht="11.25">
      <c r="A26" s="24">
        <v>38916</v>
      </c>
      <c r="B26" s="20" t="s">
        <v>153</v>
      </c>
      <c r="C26" s="20" t="s">
        <v>128</v>
      </c>
      <c r="D26" s="21" t="s">
        <v>155</v>
      </c>
    </row>
    <row r="27" spans="1:4" ht="22.5">
      <c r="A27" s="24">
        <v>38943</v>
      </c>
      <c r="B27" s="20" t="s">
        <v>156</v>
      </c>
      <c r="C27" s="20" t="s">
        <v>128</v>
      </c>
      <c r="D27" s="21" t="s">
        <v>157</v>
      </c>
    </row>
    <row r="28" spans="1:4" ht="11.25">
      <c r="A28" s="24">
        <v>38951</v>
      </c>
      <c r="B28" s="20" t="s">
        <v>158</v>
      </c>
      <c r="C28" s="20" t="s">
        <v>128</v>
      </c>
      <c r="D28" s="21" t="s">
        <v>154</v>
      </c>
    </row>
    <row r="29" spans="1:4" ht="11.25">
      <c r="A29" s="24">
        <v>38992</v>
      </c>
      <c r="B29" s="20" t="s">
        <v>65</v>
      </c>
      <c r="C29" s="20" t="s">
        <v>128</v>
      </c>
      <c r="D29" s="21" t="s">
        <v>38</v>
      </c>
    </row>
    <row r="30" spans="1:4" ht="11.25">
      <c r="A30" s="24">
        <v>39063</v>
      </c>
      <c r="B30" s="20" t="s">
        <v>13</v>
      </c>
      <c r="C30" s="20" t="s">
        <v>128</v>
      </c>
      <c r="D30" s="21" t="s">
        <v>14</v>
      </c>
    </row>
    <row r="31" spans="1:4" ht="11.25">
      <c r="A31" s="24">
        <v>39086</v>
      </c>
      <c r="B31" s="20" t="s">
        <v>486</v>
      </c>
      <c r="C31" s="20" t="s">
        <v>128</v>
      </c>
      <c r="D31" s="21" t="s">
        <v>159</v>
      </c>
    </row>
    <row r="32" ht="56.25">
      <c r="D32" s="21" t="s">
        <v>263</v>
      </c>
    </row>
    <row r="33" spans="1:4" ht="11.25">
      <c r="A33" s="24">
        <v>39135</v>
      </c>
      <c r="B33" s="20" t="s">
        <v>141</v>
      </c>
      <c r="D33" s="21" t="s">
        <v>434</v>
      </c>
    </row>
    <row r="34" spans="1:4" ht="11.25">
      <c r="A34" s="24">
        <v>39136</v>
      </c>
      <c r="B34" s="20" t="s">
        <v>140</v>
      </c>
      <c r="C34" s="20" t="s">
        <v>128</v>
      </c>
      <c r="D34" s="21" t="s">
        <v>139</v>
      </c>
    </row>
    <row r="35" spans="1:4" ht="11.25">
      <c r="A35" s="24">
        <v>39149</v>
      </c>
      <c r="B35" s="20" t="s">
        <v>673</v>
      </c>
      <c r="C35" s="20" t="s">
        <v>128</v>
      </c>
      <c r="D35" s="21" t="s">
        <v>674</v>
      </c>
    </row>
    <row r="36" spans="1:4" ht="22.5">
      <c r="A36" s="24">
        <v>39273</v>
      </c>
      <c r="B36" s="20" t="s">
        <v>574</v>
      </c>
      <c r="C36" s="20" t="s">
        <v>128</v>
      </c>
      <c r="D36" s="21" t="s">
        <v>575</v>
      </c>
    </row>
  </sheetData>
  <sheetProtection selectLockedCells="1" selectUnlockedCells="1"/>
  <mergeCells count="1">
    <mergeCell ref="A2:C2"/>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IV246"/>
  <sheetViews>
    <sheetView showGridLines="0" tabSelected="1" workbookViewId="0" topLeftCell="A1">
      <selection activeCell="C3" sqref="C3:D3"/>
    </sheetView>
  </sheetViews>
  <sheetFormatPr defaultColWidth="9.140625" defaultRowHeight="12.75"/>
  <cols>
    <col min="1" max="1" width="1.57421875" style="33" bestFit="1" customWidth="1"/>
    <col min="2" max="2" width="41.421875" style="33" customWidth="1"/>
    <col min="3" max="3" width="21.421875" style="34" customWidth="1"/>
    <col min="4" max="4" width="14.28125" style="34" customWidth="1"/>
    <col min="5" max="5" width="26.140625" style="35" customWidth="1"/>
    <col min="6" max="6" width="13.8515625" style="35" customWidth="1"/>
    <col min="7" max="7" width="4.00390625" style="34" bestFit="1" customWidth="1"/>
    <col min="8" max="8" width="15.8515625" style="33" bestFit="1" customWidth="1"/>
    <col min="9" max="9" width="37.57421875" style="33" customWidth="1"/>
    <col min="10" max="16384" width="9.140625" style="33" customWidth="1"/>
  </cols>
  <sheetData>
    <row r="1" spans="1:6" ht="20.25">
      <c r="A1" s="32"/>
      <c r="B1" s="91" t="s">
        <v>579</v>
      </c>
      <c r="F1" s="36"/>
    </row>
    <row r="2" spans="1:4" ht="23.25" customHeight="1">
      <c r="A2" s="37"/>
      <c r="B2" s="151" t="s">
        <v>415</v>
      </c>
      <c r="C2" s="39"/>
      <c r="D2" s="144"/>
    </row>
    <row r="3" spans="1:7" ht="12.75">
      <c r="A3" s="37"/>
      <c r="B3" s="38" t="s">
        <v>377</v>
      </c>
      <c r="C3" s="189"/>
      <c r="D3" s="190"/>
      <c r="E3" s="33"/>
      <c r="G3" s="35"/>
    </row>
    <row r="4" spans="1:7" ht="12.75">
      <c r="A4" s="37"/>
      <c r="B4" s="38" t="s">
        <v>378</v>
      </c>
      <c r="C4" s="189"/>
      <c r="D4" s="190"/>
      <c r="E4" s="34"/>
      <c r="G4" s="35"/>
    </row>
    <row r="5" spans="1:4" ht="23.25" customHeight="1">
      <c r="A5" s="37"/>
      <c r="B5" s="37" t="s">
        <v>580</v>
      </c>
      <c r="C5" s="39"/>
      <c r="D5" s="39"/>
    </row>
    <row r="6" spans="2:4" ht="12.75">
      <c r="B6" s="38" t="s">
        <v>558</v>
      </c>
      <c r="C6" s="189"/>
      <c r="D6" s="190"/>
    </row>
    <row r="7" spans="2:4" ht="12.75">
      <c r="B7" s="38" t="s">
        <v>379</v>
      </c>
      <c r="C7" s="189" t="s">
        <v>264</v>
      </c>
      <c r="D7" s="190"/>
    </row>
    <row r="8" spans="2:4" ht="12.75">
      <c r="B8" s="38" t="s">
        <v>380</v>
      </c>
      <c r="C8" s="187"/>
      <c r="D8" s="188"/>
    </row>
    <row r="9" ht="12.75"/>
    <row r="10" spans="2:5" ht="12.75">
      <c r="B10" s="14" t="s">
        <v>431</v>
      </c>
      <c r="C10" s="164" t="s">
        <v>371</v>
      </c>
      <c r="D10" s="165"/>
      <c r="E10" s="15" t="s">
        <v>545</v>
      </c>
    </row>
    <row r="11" spans="2:5" ht="12.75">
      <c r="B11" s="2" t="s">
        <v>12</v>
      </c>
      <c r="C11" s="146" t="s">
        <v>10</v>
      </c>
      <c r="D11" s="100"/>
      <c r="E11" s="29" t="s">
        <v>10</v>
      </c>
    </row>
    <row r="12" spans="2:5" ht="12.75">
      <c r="B12" s="2" t="s">
        <v>11</v>
      </c>
      <c r="C12" s="27" t="s">
        <v>495</v>
      </c>
      <c r="D12" s="101"/>
      <c r="E12" s="29" t="s">
        <v>495</v>
      </c>
    </row>
    <row r="13" spans="2:5" ht="12.75">
      <c r="B13" s="2" t="s">
        <v>262</v>
      </c>
      <c r="C13" s="145" t="s">
        <v>739</v>
      </c>
      <c r="D13" s="101"/>
      <c r="E13" s="29" t="s">
        <v>739</v>
      </c>
    </row>
    <row r="14" spans="2:5" ht="12.75">
      <c r="B14" s="2" t="s">
        <v>427</v>
      </c>
      <c r="C14" s="27" t="s">
        <v>374</v>
      </c>
      <c r="D14" s="101"/>
      <c r="E14" s="30" t="s">
        <v>374</v>
      </c>
    </row>
    <row r="15" spans="2:5" ht="12.75">
      <c r="B15" s="2" t="s">
        <v>428</v>
      </c>
      <c r="C15" s="27" t="s">
        <v>582</v>
      </c>
      <c r="D15" s="101"/>
      <c r="E15" s="30" t="s">
        <v>582</v>
      </c>
    </row>
    <row r="16" spans="2:5" ht="12.75">
      <c r="B16" s="2" t="s">
        <v>429</v>
      </c>
      <c r="C16" s="27" t="s">
        <v>375</v>
      </c>
      <c r="D16" s="101"/>
      <c r="E16" s="30" t="s">
        <v>375</v>
      </c>
    </row>
    <row r="17" spans="2:5" ht="12.75">
      <c r="B17" s="2" t="s">
        <v>430</v>
      </c>
      <c r="C17" s="27" t="s">
        <v>583</v>
      </c>
      <c r="D17" s="101"/>
      <c r="E17" s="30" t="s">
        <v>583</v>
      </c>
    </row>
    <row r="18" spans="2:6" ht="12.75">
      <c r="B18" s="2" t="s">
        <v>567</v>
      </c>
      <c r="C18" s="27" t="s">
        <v>423</v>
      </c>
      <c r="D18" s="102"/>
      <c r="E18" s="30" t="s">
        <v>423</v>
      </c>
      <c r="F18" s="42"/>
    </row>
    <row r="19" spans="2:10" ht="12.75">
      <c r="B19" s="2" t="s">
        <v>568</v>
      </c>
      <c r="C19" s="27" t="s">
        <v>424</v>
      </c>
      <c r="D19" s="101"/>
      <c r="E19" s="29" t="s">
        <v>424</v>
      </c>
      <c r="J19" s="43"/>
    </row>
    <row r="20" spans="2:5" ht="12.75">
      <c r="B20" s="2" t="s">
        <v>433</v>
      </c>
      <c r="C20" s="27" t="s">
        <v>439</v>
      </c>
      <c r="D20" s="101"/>
      <c r="E20" s="29" t="s">
        <v>439</v>
      </c>
    </row>
    <row r="21" spans="2:5" ht="12.75">
      <c r="B21" s="2" t="s">
        <v>435</v>
      </c>
      <c r="C21" s="27" t="s">
        <v>439</v>
      </c>
      <c r="D21" s="101"/>
      <c r="E21" s="29" t="s">
        <v>439</v>
      </c>
    </row>
    <row r="22" spans="2:7" ht="12.75">
      <c r="B22" s="2" t="s">
        <v>571</v>
      </c>
      <c r="C22" s="8" t="str">
        <f>CONCATENATE(C18,".")</f>
        <v>10.89.223.</v>
      </c>
      <c r="D22" s="22">
        <v>254</v>
      </c>
      <c r="E22" s="25">
        <v>254</v>
      </c>
      <c r="F22" s="103">
        <f>IF(LEFT(C20,SEARCH(".",C20,LEN(C20)-3)-1)="255.255.255",INT(D22/(256-RIGHT(C20,LEN(C20)-SEARCH(".",C20,LEN(C20)-3))))*(256-RIGHT(C20,LEN(C20)-SEARCH(".",C20,LEN(C20)-3))),0)</f>
        <v>0</v>
      </c>
      <c r="G22" s="104">
        <f>IF(LEFT(C20,SEARCH(".",C20,LEN(C20)-3)-1)="255.255.255",(INT(D22/(256-RIGHT(C20,LEN(C20)-SEARCH(".",C20,LEN(C20)-3))))+1)*(256-RIGHT(C20,LEN(C20)-SEARCH(".",C20,LEN(C20)-3))),255)</f>
        <v>256</v>
      </c>
    </row>
    <row r="23" spans="2:7" ht="12.75">
      <c r="B23" s="2" t="s">
        <v>572</v>
      </c>
      <c r="C23" s="8" t="str">
        <f>IF(C19&lt;&gt;"",CONCATENATE(C19,"."),"")</f>
        <v>10.89.224.</v>
      </c>
      <c r="D23" s="22">
        <f>IF(C23&lt;&gt;"",254,"")</f>
        <v>254</v>
      </c>
      <c r="E23" s="25">
        <v>254</v>
      </c>
      <c r="F23" s="103">
        <f>IF(LEFT(C21,SEARCH(".",C21,LEN(C21)-3)-1)="255.255.255",INT(D23/(256-RIGHT(C21,LEN(C21)-SEARCH(".",C21,LEN(C21)-3))))*(256-RIGHT(C21,LEN(C21)-SEARCH(".",C21,LEN(C21)-3))),0)</f>
        <v>0</v>
      </c>
      <c r="G23" s="104">
        <f>IF(LEFT(C21,SEARCH(".",C21,LEN(C21)-3)-1)="255.255.255",(INT(D23/(256-RIGHT(C21,LEN(C21)-SEARCH(".",C21,LEN(C21)-3))))+1)*(256-RIGHT(C21,LEN(C21)-SEARCH(".",C21,LEN(C21)-3))),255)</f>
        <v>256</v>
      </c>
    </row>
    <row r="24" spans="2:7" ht="12.75">
      <c r="B24" s="2" t="s">
        <v>569</v>
      </c>
      <c r="C24" s="27" t="s">
        <v>425</v>
      </c>
      <c r="D24" s="101"/>
      <c r="E24" s="29" t="s">
        <v>425</v>
      </c>
      <c r="F24" s="105"/>
      <c r="G24" s="104"/>
    </row>
    <row r="25" spans="2:7" ht="12.75">
      <c r="B25" s="2" t="s">
        <v>570</v>
      </c>
      <c r="C25" s="27" t="s">
        <v>426</v>
      </c>
      <c r="D25" s="101"/>
      <c r="E25" s="29" t="s">
        <v>426</v>
      </c>
      <c r="F25" s="103"/>
      <c r="G25" s="104"/>
    </row>
    <row r="26" spans="2:7" ht="12.75">
      <c r="B26" s="2" t="s">
        <v>372</v>
      </c>
      <c r="C26" s="27" t="s">
        <v>439</v>
      </c>
      <c r="D26" s="101"/>
      <c r="E26" s="29" t="s">
        <v>439</v>
      </c>
      <c r="F26" s="103"/>
      <c r="G26" s="104"/>
    </row>
    <row r="27" spans="2:7" ht="12.75">
      <c r="B27" s="2" t="s">
        <v>373</v>
      </c>
      <c r="C27" s="27" t="s">
        <v>439</v>
      </c>
      <c r="D27" s="101"/>
      <c r="E27" s="29" t="s">
        <v>439</v>
      </c>
      <c r="F27" s="103"/>
      <c r="G27" s="104"/>
    </row>
    <row r="28" spans="2:7" ht="12.75">
      <c r="B28" s="2" t="s">
        <v>573</v>
      </c>
      <c r="C28" s="8" t="str">
        <f>CONCATENATE(C24,".")</f>
        <v>10.89.225.</v>
      </c>
      <c r="D28" s="22">
        <v>254</v>
      </c>
      <c r="E28" s="25">
        <v>254</v>
      </c>
      <c r="F28" s="103">
        <f>IF(LEFT(C26,SEARCH(".",C26,LEN(C26)-3)-1)="255.255.255",INT(D28/(256-RIGHT(C26,LEN(C26)-SEARCH(".",C26,LEN(C26)-3))))*(256-RIGHT(C26,LEN(C26)-SEARCH(".",C26,LEN(C26)-3))),0)</f>
        <v>0</v>
      </c>
      <c r="G28" s="104">
        <f>IF(LEFT(C26,SEARCH(".",C26,LEN(C26)-3)-1)="255.255.255",(INT(D28/(256-RIGHT(C26,LEN(C26)-SEARCH(".",C26,LEN(C26)-3))))+1)*(256-RIGHT(C26,LEN(C26)-SEARCH(".",C26,LEN(C26)-3))),255)</f>
        <v>256</v>
      </c>
    </row>
    <row r="29" spans="2:8" ht="12.75">
      <c r="B29" s="2" t="s">
        <v>576</v>
      </c>
      <c r="C29" s="8" t="str">
        <f>IF(C25&lt;&gt;"",CONCATENATE(C25,"."),"")</f>
        <v>10.89.226.</v>
      </c>
      <c r="D29" s="22">
        <f>IF(C29&lt;&gt;"",254,"")</f>
        <v>254</v>
      </c>
      <c r="E29" s="25">
        <v>254</v>
      </c>
      <c r="F29" s="103">
        <f>IF(LEFT(C27,SEARCH(".",C27,LEN(C27)-3)-1)="255.255.255",INT(D29/(256-RIGHT(C27,LEN(C27)-SEARCH(".",C27,LEN(C27)-3))))*(256-RIGHT(C27,LEN(C27)-SEARCH(".",C27,LEN(C27)-3))),0)</f>
        <v>0</v>
      </c>
      <c r="G29" s="104">
        <f>IF(LEFT(C27,SEARCH(".",C27,LEN(C27)-3)-1)="255.255.255",(INT(D29/(256-RIGHT(C27,LEN(C27)-SEARCH(".",C27,LEN(C27)-3))))+1)*(256-RIGHT(C27,LEN(C27)-SEARCH(".",C27,LEN(C27)-3))),255)</f>
        <v>256</v>
      </c>
      <c r="H29" s="44"/>
    </row>
    <row r="30" spans="2:5" ht="12.75">
      <c r="B30" s="2" t="s">
        <v>445</v>
      </c>
      <c r="C30" s="27" t="s">
        <v>446</v>
      </c>
      <c r="D30" s="101"/>
      <c r="E30" s="16" t="s">
        <v>446</v>
      </c>
    </row>
    <row r="31" spans="2:5" ht="12.75">
      <c r="B31" s="2" t="s">
        <v>561</v>
      </c>
      <c r="C31" s="27" t="s">
        <v>441</v>
      </c>
      <c r="D31" s="101"/>
      <c r="E31" s="16" t="s">
        <v>441</v>
      </c>
    </row>
    <row r="32" spans="2:5" ht="12.75">
      <c r="B32" s="2" t="s">
        <v>562</v>
      </c>
      <c r="C32" s="27" t="s">
        <v>442</v>
      </c>
      <c r="D32" s="101"/>
      <c r="E32" s="16" t="s">
        <v>442</v>
      </c>
    </row>
    <row r="33" spans="2:5" ht="12.75">
      <c r="B33" s="2" t="s">
        <v>563</v>
      </c>
      <c r="C33" s="26" t="s">
        <v>443</v>
      </c>
      <c r="D33" s="101"/>
      <c r="E33" s="16" t="s">
        <v>443</v>
      </c>
    </row>
    <row r="34" spans="2:5" ht="12.75">
      <c r="B34" s="2" t="s">
        <v>564</v>
      </c>
      <c r="C34" s="27" t="s">
        <v>444</v>
      </c>
      <c r="D34" s="101"/>
      <c r="E34" s="16" t="s">
        <v>444</v>
      </c>
    </row>
    <row r="35" spans="2:6" ht="12.75">
      <c r="B35" s="2" t="s">
        <v>240</v>
      </c>
      <c r="C35" s="27" t="s">
        <v>440</v>
      </c>
      <c r="D35" s="101"/>
      <c r="E35" s="16" t="s">
        <v>440</v>
      </c>
      <c r="F35" s="42"/>
    </row>
    <row r="36" spans="2:5" ht="12.75">
      <c r="B36" s="2" t="s">
        <v>609</v>
      </c>
      <c r="C36" s="145" t="s">
        <v>584</v>
      </c>
      <c r="D36" s="101"/>
      <c r="E36" s="16" t="s">
        <v>584</v>
      </c>
    </row>
    <row r="37" spans="2:5" ht="12.75">
      <c r="B37" s="2" t="s">
        <v>610</v>
      </c>
      <c r="C37" s="145" t="s">
        <v>585</v>
      </c>
      <c r="D37" s="101"/>
      <c r="E37" s="16" t="s">
        <v>585</v>
      </c>
    </row>
    <row r="38" spans="2:5" ht="12.75">
      <c r="B38" s="2" t="s">
        <v>613</v>
      </c>
      <c r="C38" s="145" t="s">
        <v>584</v>
      </c>
      <c r="D38" s="101"/>
      <c r="E38" s="16" t="s">
        <v>584</v>
      </c>
    </row>
    <row r="39" spans="2:5" ht="12.75">
      <c r="B39" s="2" t="s">
        <v>614</v>
      </c>
      <c r="C39" s="145" t="s">
        <v>585</v>
      </c>
      <c r="D39" s="101"/>
      <c r="E39" s="16" t="s">
        <v>585</v>
      </c>
    </row>
    <row r="40" spans="2:5" ht="12.75">
      <c r="B40" s="2" t="s">
        <v>611</v>
      </c>
      <c r="C40" s="145" t="s">
        <v>615</v>
      </c>
      <c r="D40" s="101"/>
      <c r="E40" s="16" t="s">
        <v>615</v>
      </c>
    </row>
    <row r="41" spans="2:5" ht="12.75">
      <c r="B41" s="2" t="s">
        <v>612</v>
      </c>
      <c r="C41" s="27" t="s">
        <v>616</v>
      </c>
      <c r="D41" s="101"/>
      <c r="E41" s="16" t="s">
        <v>616</v>
      </c>
    </row>
    <row r="42" spans="2:8" s="40" customFormat="1" ht="6" customHeight="1">
      <c r="B42" s="45"/>
      <c r="C42" s="46"/>
      <c r="D42" s="46"/>
      <c r="E42" s="47"/>
      <c r="F42" s="48"/>
      <c r="G42" s="47"/>
      <c r="H42" s="44"/>
    </row>
    <row r="43" spans="2:8" ht="12.75">
      <c r="B43" s="2" t="s">
        <v>533</v>
      </c>
      <c r="C43" s="147" t="s">
        <v>556</v>
      </c>
      <c r="D43" s="101"/>
      <c r="E43" s="17" t="s">
        <v>556</v>
      </c>
      <c r="H43" s="44"/>
    </row>
    <row r="44" spans="2:5" ht="12.75">
      <c r="B44" s="2" t="s">
        <v>534</v>
      </c>
      <c r="C44" s="27" t="s">
        <v>548</v>
      </c>
      <c r="D44" s="101"/>
      <c r="E44" s="17" t="s">
        <v>548</v>
      </c>
    </row>
    <row r="45" spans="2:5" ht="12.75">
      <c r="B45" s="2" t="s">
        <v>635</v>
      </c>
      <c r="C45" s="27" t="s">
        <v>556</v>
      </c>
      <c r="D45" s="101"/>
      <c r="E45" s="17" t="s">
        <v>556</v>
      </c>
    </row>
    <row r="46" spans="2:5" ht="12.75">
      <c r="B46" s="2" t="s">
        <v>632</v>
      </c>
      <c r="C46" s="27" t="s">
        <v>633</v>
      </c>
      <c r="D46" s="101"/>
      <c r="E46" s="17" t="s">
        <v>633</v>
      </c>
    </row>
    <row r="47" spans="2:5" ht="12.75">
      <c r="B47" s="2" t="s">
        <v>535</v>
      </c>
      <c r="C47" s="27" t="s">
        <v>548</v>
      </c>
      <c r="D47" s="101"/>
      <c r="E47" s="17" t="s">
        <v>548</v>
      </c>
    </row>
    <row r="48" spans="2:5" ht="12.75">
      <c r="B48" s="2" t="s">
        <v>536</v>
      </c>
      <c r="C48" s="27" t="s">
        <v>556</v>
      </c>
      <c r="D48" s="101"/>
      <c r="E48" s="17" t="s">
        <v>556</v>
      </c>
    </row>
    <row r="49" spans="2:5" ht="12.75">
      <c r="B49" s="2" t="s">
        <v>537</v>
      </c>
      <c r="C49" s="27" t="s">
        <v>542</v>
      </c>
      <c r="D49" s="101"/>
      <c r="E49" s="17" t="s">
        <v>542</v>
      </c>
    </row>
    <row r="50" spans="2:6" ht="12.75">
      <c r="B50" s="2" t="s">
        <v>538</v>
      </c>
      <c r="C50" s="27">
        <v>1</v>
      </c>
      <c r="D50" s="101"/>
      <c r="E50" s="17">
        <v>1</v>
      </c>
      <c r="F50" s="152"/>
    </row>
    <row r="51" spans="2:9" ht="12.75">
      <c r="B51" s="2" t="s">
        <v>477</v>
      </c>
      <c r="C51" s="27" t="s">
        <v>478</v>
      </c>
      <c r="D51" s="101"/>
      <c r="E51" s="17" t="s">
        <v>478</v>
      </c>
      <c r="H51" s="44"/>
      <c r="I51" s="49"/>
    </row>
    <row r="52" spans="2:9" ht="12.75">
      <c r="B52" s="2" t="s">
        <v>539</v>
      </c>
      <c r="C52" s="27">
        <v>146</v>
      </c>
      <c r="D52" s="194" t="s">
        <v>151</v>
      </c>
      <c r="E52" s="17">
        <v>146</v>
      </c>
      <c r="H52" s="44"/>
      <c r="I52" s="50"/>
    </row>
    <row r="53" spans="2:5" ht="12.75">
      <c r="B53" s="2" t="s">
        <v>540</v>
      </c>
      <c r="C53" s="27">
        <v>205</v>
      </c>
      <c r="D53" s="195"/>
      <c r="E53" s="17">
        <v>205</v>
      </c>
    </row>
    <row r="54" spans="2:5" ht="12.75">
      <c r="B54" s="2" t="s">
        <v>541</v>
      </c>
      <c r="C54" s="27">
        <v>235</v>
      </c>
      <c r="D54" s="196"/>
      <c r="E54" s="17">
        <v>235</v>
      </c>
    </row>
    <row r="55" spans="2:5" ht="12.75">
      <c r="B55" s="2" t="s">
        <v>543</v>
      </c>
      <c r="C55" s="148" t="str">
        <f>CONCATENATE("broker-",$C$11,".",$C$30)</f>
        <v>broker-MAIN-ST.name.cisco.com</v>
      </c>
      <c r="D55" s="149"/>
      <c r="E55" s="17" t="s">
        <v>546</v>
      </c>
    </row>
    <row r="56" spans="2:5" ht="12.75">
      <c r="B56" s="2" t="s">
        <v>544</v>
      </c>
      <c r="C56" s="148" t="str">
        <f>CONCATENATE("brokerems-",$C$11,".",$C$30)</f>
        <v>brokerems-MAIN-ST.name.cisco.com</v>
      </c>
      <c r="D56" s="150"/>
      <c r="E56" s="17" t="s">
        <v>547</v>
      </c>
    </row>
    <row r="57" spans="2:4" ht="12.75">
      <c r="B57" s="45"/>
      <c r="C57" s="51"/>
      <c r="D57" s="35"/>
    </row>
    <row r="58" spans="2:4" ht="12.75">
      <c r="B58" s="45"/>
      <c r="C58" s="51"/>
      <c r="D58" s="35"/>
    </row>
    <row r="59" spans="1:5" ht="16.5">
      <c r="A59" s="41"/>
      <c r="B59" s="41" t="s">
        <v>549</v>
      </c>
      <c r="C59" s="51"/>
      <c r="D59" s="51"/>
      <c r="E59" s="52"/>
    </row>
    <row r="60" ht="12.75">
      <c r="B60" s="37"/>
    </row>
    <row r="61" ht="12.75">
      <c r="B61" s="37" t="s">
        <v>447</v>
      </c>
    </row>
    <row r="62" ht="4.5" customHeight="1">
      <c r="E62" s="48"/>
    </row>
    <row r="63" spans="2:8" ht="12.75" customHeight="1">
      <c r="B63" s="182" t="s">
        <v>448</v>
      </c>
      <c r="C63" s="172" t="s">
        <v>449</v>
      </c>
      <c r="D63" s="173"/>
      <c r="E63" s="180" t="s">
        <v>376</v>
      </c>
      <c r="F63" s="164" t="s">
        <v>450</v>
      </c>
      <c r="G63" s="165"/>
      <c r="H63" s="176" t="s">
        <v>432</v>
      </c>
    </row>
    <row r="64" spans="2:8" ht="25.5">
      <c r="B64" s="183"/>
      <c r="C64" s="174"/>
      <c r="D64" s="175"/>
      <c r="E64" s="181"/>
      <c r="F64" s="62" t="s">
        <v>391</v>
      </c>
      <c r="G64" s="63" t="s">
        <v>392</v>
      </c>
      <c r="H64" s="177"/>
    </row>
    <row r="65" spans="2:8" ht="12.75">
      <c r="B65" s="3" t="s">
        <v>451</v>
      </c>
      <c r="C65" s="166" t="str">
        <f>CONCATENATE($C$32,"-nms1")</f>
        <v>priems-nms1</v>
      </c>
      <c r="D65" s="167"/>
      <c r="E65" s="7" t="str">
        <f>$C$36</f>
        <v>ce0</v>
      </c>
      <c r="F65" s="8" t="str">
        <f>CONCATENATE($C$18,".")</f>
        <v>10.89.223.</v>
      </c>
      <c r="G65" s="22">
        <v>10</v>
      </c>
      <c r="H65" s="191" t="str">
        <f>CONCATENATE($C$18,".",$D$22)</f>
        <v>10.89.223.254</v>
      </c>
    </row>
    <row r="66" spans="2:8" ht="12.75">
      <c r="B66" s="3" t="s">
        <v>80</v>
      </c>
      <c r="C66" s="166" t="str">
        <f>CONCATENATE($C$34,"-nms1")</f>
        <v>secems-nms1</v>
      </c>
      <c r="D66" s="167"/>
      <c r="E66" s="7" t="str">
        <f>$C$36</f>
        <v>ce0</v>
      </c>
      <c r="F66" s="8" t="str">
        <f>CONCATENATE($C$18,".")</f>
        <v>10.89.223.</v>
      </c>
      <c r="G66" s="22">
        <f>G65+1</f>
        <v>11</v>
      </c>
      <c r="H66" s="192"/>
    </row>
    <row r="67" spans="2:8" ht="12.75">
      <c r="B67" s="3" t="s">
        <v>452</v>
      </c>
      <c r="C67" s="166" t="str">
        <f>CONCATENATE($C$31,"-nms1")</f>
        <v>prica-nms1</v>
      </c>
      <c r="D67" s="167"/>
      <c r="E67" s="7" t="str">
        <f>$C$40</f>
        <v>qfe0</v>
      </c>
      <c r="F67" s="8" t="str">
        <f>CONCATENATE($C$18,".")</f>
        <v>10.89.223.</v>
      </c>
      <c r="G67" s="22">
        <f>G66+1</f>
        <v>12</v>
      </c>
      <c r="H67" s="192"/>
    </row>
    <row r="68" spans="2:8" ht="12.75">
      <c r="B68" s="5" t="s">
        <v>81</v>
      </c>
      <c r="C68" s="166" t="str">
        <f>CONCATENATE($C$33,"-nms1")</f>
        <v>secca-nms1</v>
      </c>
      <c r="D68" s="167"/>
      <c r="E68" s="7" t="str">
        <f>$C$40</f>
        <v>qfe0</v>
      </c>
      <c r="F68" s="8" t="str">
        <f>CONCATENATE($C$18,".")</f>
        <v>10.89.223.</v>
      </c>
      <c r="G68" s="22">
        <f>G67+1</f>
        <v>13</v>
      </c>
      <c r="H68" s="193"/>
    </row>
    <row r="69" spans="2:7" ht="12.75">
      <c r="B69" s="53"/>
      <c r="C69" s="54"/>
      <c r="D69" s="54"/>
      <c r="E69" s="55"/>
      <c r="F69" s="48"/>
      <c r="G69" s="56"/>
    </row>
    <row r="70" spans="2:7" ht="12.75">
      <c r="B70" s="37" t="s">
        <v>453</v>
      </c>
      <c r="C70" s="47"/>
      <c r="D70" s="47"/>
      <c r="F70" s="34"/>
      <c r="G70" s="35"/>
    </row>
    <row r="71" spans="3:7" ht="4.5" customHeight="1">
      <c r="C71" s="47"/>
      <c r="D71" s="47"/>
      <c r="F71" s="34"/>
      <c r="G71" s="48"/>
    </row>
    <row r="72" spans="2:8" ht="12.75" customHeight="1">
      <c r="B72" s="182" t="s">
        <v>448</v>
      </c>
      <c r="C72" s="172" t="s">
        <v>449</v>
      </c>
      <c r="D72" s="173"/>
      <c r="E72" s="180" t="s">
        <v>376</v>
      </c>
      <c r="F72" s="164" t="s">
        <v>450</v>
      </c>
      <c r="G72" s="165"/>
      <c r="H72" s="176" t="s">
        <v>432</v>
      </c>
    </row>
    <row r="73" spans="2:8" ht="25.5">
      <c r="B73" s="183"/>
      <c r="C73" s="174"/>
      <c r="D73" s="175"/>
      <c r="E73" s="181"/>
      <c r="F73" s="62" t="s">
        <v>438</v>
      </c>
      <c r="G73" s="63" t="s">
        <v>392</v>
      </c>
      <c r="H73" s="177"/>
    </row>
    <row r="74" spans="2:8" ht="12.75">
      <c r="B74" s="3" t="s">
        <v>451</v>
      </c>
      <c r="C74" s="166" t="str">
        <f>CONCATENATE($C$32,"-nms2")</f>
        <v>priems-nms2</v>
      </c>
      <c r="D74" s="167"/>
      <c r="E74" s="7" t="str">
        <f>$C$37</f>
        <v>ce1</v>
      </c>
      <c r="F74" s="8" t="str">
        <f>IF($C$19&lt;&gt;"",CONCATENATE($C$19,"."),"")</f>
        <v>10.89.224.</v>
      </c>
      <c r="G74" s="22">
        <f>IF($C$19&lt;&gt;"",G65,"")</f>
        <v>10</v>
      </c>
      <c r="H74" s="191" t="str">
        <f>IF($C$19&lt;&gt;"",CONCATENATE($C$19,".",$D$23),"")</f>
        <v>10.89.224.254</v>
      </c>
    </row>
    <row r="75" spans="2:8" ht="12.75">
      <c r="B75" s="3" t="s">
        <v>80</v>
      </c>
      <c r="C75" s="166" t="str">
        <f>CONCATENATE($C$34,"-nms2")</f>
        <v>secems-nms2</v>
      </c>
      <c r="D75" s="167"/>
      <c r="E75" s="7" t="str">
        <f>$C$37</f>
        <v>ce1</v>
      </c>
      <c r="F75" s="8" t="str">
        <f>IF($C$19&lt;&gt;"",CONCATENATE($C$19,"."),"")</f>
        <v>10.89.224.</v>
      </c>
      <c r="G75" s="22">
        <f>IF($C$19&lt;&gt;"",G74+1,"")</f>
        <v>11</v>
      </c>
      <c r="H75" s="192"/>
    </row>
    <row r="76" spans="2:8" ht="12.75">
      <c r="B76" s="3" t="s">
        <v>452</v>
      </c>
      <c r="C76" s="166" t="str">
        <f>CONCATENATE($C$31,"-nms2")</f>
        <v>prica-nms2</v>
      </c>
      <c r="D76" s="167"/>
      <c r="E76" s="7" t="str">
        <f>$C$41</f>
        <v>qfe1</v>
      </c>
      <c r="F76" s="8" t="str">
        <f>IF($C$19&lt;&gt;"",CONCATENATE($C$19,"."),"")</f>
        <v>10.89.224.</v>
      </c>
      <c r="G76" s="22">
        <f>IF($C$19&lt;&gt;"",G75+1,"")</f>
        <v>12</v>
      </c>
      <c r="H76" s="192"/>
    </row>
    <row r="77" spans="2:8" ht="12.75">
      <c r="B77" s="5" t="s">
        <v>81</v>
      </c>
      <c r="C77" s="166" t="str">
        <f>CONCATENATE($C$33,"-nms2")</f>
        <v>secca-nms2</v>
      </c>
      <c r="D77" s="167"/>
      <c r="E77" s="7" t="str">
        <f>$C$41</f>
        <v>qfe1</v>
      </c>
      <c r="F77" s="8" t="str">
        <f>IF($C$19&lt;&gt;"",CONCATENATE($C$19,"."),"")</f>
        <v>10.89.224.</v>
      </c>
      <c r="G77" s="22">
        <f>IF($C$19&lt;&gt;"",G76+1,"")</f>
        <v>13</v>
      </c>
      <c r="H77" s="193"/>
    </row>
    <row r="78" spans="2:8" ht="12.75">
      <c r="B78" s="53"/>
      <c r="C78" s="57"/>
      <c r="D78" s="57"/>
      <c r="E78" s="55"/>
      <c r="F78" s="58"/>
      <c r="G78" s="48"/>
      <c r="H78" s="59"/>
    </row>
    <row r="79" spans="2:7" ht="12.75">
      <c r="B79" s="53"/>
      <c r="C79" s="54"/>
      <c r="D79" s="54"/>
      <c r="E79" s="56"/>
      <c r="F79" s="55"/>
      <c r="G79" s="48"/>
    </row>
    <row r="80" spans="1:5" ht="16.5">
      <c r="A80" s="41"/>
      <c r="B80" s="41" t="s">
        <v>551</v>
      </c>
      <c r="C80" s="51"/>
      <c r="D80" s="51"/>
      <c r="E80" s="52"/>
    </row>
    <row r="81" ht="12.75">
      <c r="B81" s="37"/>
    </row>
    <row r="82" spans="2:4" ht="12.75">
      <c r="B82" s="37" t="s">
        <v>454</v>
      </c>
      <c r="C82" s="47"/>
      <c r="D82" s="47"/>
    </row>
    <row r="83" spans="3:5" ht="4.5" customHeight="1">
      <c r="C83" s="47"/>
      <c r="D83" s="47"/>
      <c r="E83" s="48"/>
    </row>
    <row r="84" spans="2:8" ht="12.75" customHeight="1">
      <c r="B84" s="182" t="s">
        <v>448</v>
      </c>
      <c r="C84" s="172" t="s">
        <v>449</v>
      </c>
      <c r="D84" s="173"/>
      <c r="E84" s="180" t="s">
        <v>376</v>
      </c>
      <c r="F84" s="164" t="s">
        <v>450</v>
      </c>
      <c r="G84" s="165"/>
      <c r="H84" s="176" t="s">
        <v>432</v>
      </c>
    </row>
    <row r="85" spans="2:8" ht="25.5">
      <c r="B85" s="183"/>
      <c r="C85" s="174"/>
      <c r="D85" s="175"/>
      <c r="E85" s="181"/>
      <c r="F85" s="62" t="s">
        <v>438</v>
      </c>
      <c r="G85" s="63" t="s">
        <v>392</v>
      </c>
      <c r="H85" s="177"/>
    </row>
    <row r="86" spans="2:8" ht="12.75">
      <c r="B86" s="3" t="s">
        <v>452</v>
      </c>
      <c r="C86" s="166" t="str">
        <f>CONCATENATE($C$31,"-mgcp1")</f>
        <v>prica-mgcp1</v>
      </c>
      <c r="D86" s="167"/>
      <c r="E86" s="7" t="str">
        <f>$C$38</f>
        <v>ce0</v>
      </c>
      <c r="F86" s="8" t="str">
        <f>CONCATENATE($C$24,".")</f>
        <v>10.89.225.</v>
      </c>
      <c r="G86" s="22">
        <f>$G$67</f>
        <v>12</v>
      </c>
      <c r="H86" s="178" t="str">
        <f>CONCATENATE($C$24,".",$D$28)</f>
        <v>10.89.225.254</v>
      </c>
    </row>
    <row r="87" spans="2:8" ht="12.75">
      <c r="B87" s="5" t="s">
        <v>81</v>
      </c>
      <c r="C87" s="166" t="str">
        <f>CONCATENATE($C$33,"-mgcp1")</f>
        <v>secca-mgcp1</v>
      </c>
      <c r="D87" s="167"/>
      <c r="E87" s="7" t="str">
        <f>$C$38</f>
        <v>ce0</v>
      </c>
      <c r="F87" s="8" t="str">
        <f>CONCATENATE($C$24,".")</f>
        <v>10.89.225.</v>
      </c>
      <c r="G87" s="22">
        <f>G86+1</f>
        <v>13</v>
      </c>
      <c r="H87" s="179"/>
    </row>
    <row r="88" spans="3:4" ht="12.75">
      <c r="C88" s="47"/>
      <c r="D88" s="47"/>
    </row>
    <row r="89" spans="2:6" ht="12.75">
      <c r="B89" s="37" t="s">
        <v>455</v>
      </c>
      <c r="C89" s="47"/>
      <c r="D89" s="47"/>
      <c r="E89" s="60"/>
      <c r="F89" s="60"/>
    </row>
    <row r="90" spans="3:5" ht="4.5" customHeight="1">
      <c r="C90" s="47"/>
      <c r="D90" s="47"/>
      <c r="E90" s="48"/>
    </row>
    <row r="91" spans="2:8" ht="12.75" customHeight="1">
      <c r="B91" s="182" t="s">
        <v>448</v>
      </c>
      <c r="C91" s="172" t="s">
        <v>449</v>
      </c>
      <c r="D91" s="173"/>
      <c r="E91" s="180" t="s">
        <v>376</v>
      </c>
      <c r="F91" s="164" t="s">
        <v>450</v>
      </c>
      <c r="G91" s="165"/>
      <c r="H91" s="176" t="s">
        <v>432</v>
      </c>
    </row>
    <row r="92" spans="2:8" ht="25.5">
      <c r="B92" s="183"/>
      <c r="C92" s="174"/>
      <c r="D92" s="175"/>
      <c r="E92" s="181"/>
      <c r="F92" s="62" t="s">
        <v>438</v>
      </c>
      <c r="G92" s="63" t="s">
        <v>392</v>
      </c>
      <c r="H92" s="177"/>
    </row>
    <row r="93" spans="2:8" ht="12.75">
      <c r="B93" s="3" t="s">
        <v>452</v>
      </c>
      <c r="C93" s="166" t="str">
        <f>CONCATENATE($C$31,"-mgcp2")</f>
        <v>prica-mgcp2</v>
      </c>
      <c r="D93" s="167"/>
      <c r="E93" s="7" t="str">
        <f>$C$39</f>
        <v>ce1</v>
      </c>
      <c r="F93" s="8" t="str">
        <f>IF($C$25&lt;&gt;"",CONCATENATE($C$25,"."),"")</f>
        <v>10.89.226.</v>
      </c>
      <c r="G93" s="22">
        <f>IF($C$25&lt;&gt;"",$G$76,"")</f>
        <v>12</v>
      </c>
      <c r="H93" s="178" t="str">
        <f>IF($C$25&lt;&gt;"",CONCATENATE($C$25,".",$D$29),"")</f>
        <v>10.89.226.254</v>
      </c>
    </row>
    <row r="94" spans="2:8" ht="12.75">
      <c r="B94" s="5" t="s">
        <v>81</v>
      </c>
      <c r="C94" s="166" t="str">
        <f>CONCATENATE($C$33,"-mgcp2")</f>
        <v>secca-mgcp2</v>
      </c>
      <c r="D94" s="167"/>
      <c r="E94" s="7" t="str">
        <f>$C$39</f>
        <v>ce1</v>
      </c>
      <c r="F94" s="8" t="str">
        <f>IF($C$25&lt;&gt;"",CONCATENATE($C$25,"."),"")</f>
        <v>10.89.226.</v>
      </c>
      <c r="G94" s="22">
        <f>G93+1</f>
        <v>13</v>
      </c>
      <c r="H94" s="179"/>
    </row>
    <row r="95" spans="3:4" ht="12.75">
      <c r="C95" s="47"/>
      <c r="D95" s="47"/>
    </row>
    <row r="96" spans="2:4" ht="12.75">
      <c r="B96" s="37" t="s">
        <v>456</v>
      </c>
      <c r="C96" s="47"/>
      <c r="D96" s="47"/>
    </row>
    <row r="97" spans="3:5" ht="4.5" customHeight="1">
      <c r="C97" s="47"/>
      <c r="D97" s="47"/>
      <c r="E97" s="48"/>
    </row>
    <row r="98" spans="2:7" ht="12.75" customHeight="1">
      <c r="B98" s="184" t="s">
        <v>457</v>
      </c>
      <c r="C98" s="164" t="s">
        <v>450</v>
      </c>
      <c r="D98" s="165"/>
      <c r="E98" s="176" t="s">
        <v>432</v>
      </c>
      <c r="F98" s="33"/>
      <c r="G98" s="33"/>
    </row>
    <row r="99" spans="2:7" ht="12.75">
      <c r="B99" s="185"/>
      <c r="C99" s="64" t="s">
        <v>436</v>
      </c>
      <c r="D99" s="65" t="s">
        <v>437</v>
      </c>
      <c r="E99" s="177"/>
      <c r="F99" s="33"/>
      <c r="G99" s="33"/>
    </row>
    <row r="100" spans="2:5" ht="12.75">
      <c r="B100" s="9" t="s">
        <v>458</v>
      </c>
      <c r="C100" s="8" t="str">
        <f>CONCATENATE($C$24,".")</f>
        <v>10.89.225.</v>
      </c>
      <c r="D100" s="22">
        <f>$G$87+1</f>
        <v>14</v>
      </c>
      <c r="E100" s="4" t="str">
        <f>CONCATENATE($C$24,".",$D$28)</f>
        <v>10.89.225.254</v>
      </c>
    </row>
    <row r="101" spans="2:5" ht="12.75">
      <c r="B101" s="6" t="s">
        <v>459</v>
      </c>
      <c r="C101" s="8" t="str">
        <f>IF($C$25&lt;&gt;"",CONCATENATE($C$25,"."),"")</f>
        <v>10.89.226.</v>
      </c>
      <c r="D101" s="22">
        <f>IF($C$25&lt;&gt;"",$G$94+1,"")</f>
        <v>14</v>
      </c>
      <c r="E101" s="4" t="str">
        <f>IF($C$25&lt;&gt;"",CONCATENATE($C$25,".",$D$29),"")</f>
        <v>10.89.226.254</v>
      </c>
    </row>
    <row r="102" spans="3:4" ht="12.75">
      <c r="C102" s="47"/>
      <c r="D102" s="47"/>
    </row>
    <row r="103" spans="2:5" ht="12.75">
      <c r="B103" s="37" t="s">
        <v>382</v>
      </c>
      <c r="C103" s="47"/>
      <c r="D103" s="47"/>
      <c r="E103" s="60"/>
    </row>
    <row r="104" spans="3:5" ht="4.5" customHeight="1">
      <c r="C104" s="47"/>
      <c r="D104" s="47"/>
      <c r="E104" s="48"/>
    </row>
    <row r="105" spans="2:7" ht="12.75" customHeight="1">
      <c r="B105" s="184" t="s">
        <v>457</v>
      </c>
      <c r="C105" s="164" t="s">
        <v>450</v>
      </c>
      <c r="D105" s="165"/>
      <c r="E105" s="176" t="s">
        <v>432</v>
      </c>
      <c r="F105" s="33"/>
      <c r="G105" s="33"/>
    </row>
    <row r="106" spans="2:7" ht="12.75">
      <c r="B106" s="185"/>
      <c r="C106" s="64" t="s">
        <v>436</v>
      </c>
      <c r="D106" s="65" t="s">
        <v>437</v>
      </c>
      <c r="E106" s="177"/>
      <c r="F106" s="33"/>
      <c r="G106" s="33"/>
    </row>
    <row r="107" spans="2:5" ht="12.75">
      <c r="B107" s="9" t="s">
        <v>460</v>
      </c>
      <c r="C107" s="8" t="str">
        <f>CONCATENATE($C$24,".")</f>
        <v>10.89.225.</v>
      </c>
      <c r="D107" s="22">
        <f>D100+1</f>
        <v>15</v>
      </c>
      <c r="E107" s="4" t="str">
        <f>CONCATENATE($C$24,".",$D$28)</f>
        <v>10.89.225.254</v>
      </c>
    </row>
    <row r="108" spans="2:5" ht="12.75">
      <c r="B108" s="6" t="s">
        <v>461</v>
      </c>
      <c r="C108" s="8" t="str">
        <f>IF($C$25&lt;&gt;"",CONCATENATE($C$25,"."),"")</f>
        <v>10.89.226.</v>
      </c>
      <c r="D108" s="22">
        <f>D101+1</f>
        <v>15</v>
      </c>
      <c r="E108" s="4" t="str">
        <f>IF($C$25&lt;&gt;"",CONCATENATE($C$25,".",$D$29),"")</f>
        <v>10.89.226.254</v>
      </c>
    </row>
    <row r="109" spans="3:4" ht="12.75">
      <c r="C109" s="47"/>
      <c r="D109" s="47"/>
    </row>
    <row r="110" spans="2:5" ht="12.75">
      <c r="B110" s="37" t="s">
        <v>381</v>
      </c>
      <c r="C110" s="47"/>
      <c r="D110" s="47"/>
      <c r="E110" s="60"/>
    </row>
    <row r="111" spans="3:5" ht="4.5" customHeight="1">
      <c r="C111" s="47"/>
      <c r="D111" s="47"/>
      <c r="E111" s="48"/>
    </row>
    <row r="112" spans="2:7" ht="12.75" customHeight="1">
      <c r="B112" s="184" t="s">
        <v>457</v>
      </c>
      <c r="C112" s="164" t="s">
        <v>450</v>
      </c>
      <c r="D112" s="165"/>
      <c r="E112" s="176" t="s">
        <v>432</v>
      </c>
      <c r="F112" s="33"/>
      <c r="G112" s="33"/>
    </row>
    <row r="113" spans="2:7" ht="12.75">
      <c r="B113" s="185"/>
      <c r="C113" s="64" t="s">
        <v>436</v>
      </c>
      <c r="D113" s="65" t="s">
        <v>437</v>
      </c>
      <c r="E113" s="177"/>
      <c r="F113" s="33"/>
      <c r="G113" s="33"/>
    </row>
    <row r="114" spans="2:5" ht="12.75">
      <c r="B114" s="9" t="s">
        <v>462</v>
      </c>
      <c r="C114" s="8" t="str">
        <f>CONCATENATE($C$24,".")</f>
        <v>10.89.225.</v>
      </c>
      <c r="D114" s="22">
        <f>D107+1</f>
        <v>16</v>
      </c>
      <c r="E114" s="4" t="str">
        <f>CONCATENATE($C$24,".",$D$28)</f>
        <v>10.89.225.254</v>
      </c>
    </row>
    <row r="115" spans="2:5" ht="12.75">
      <c r="B115" s="6" t="s">
        <v>463</v>
      </c>
      <c r="C115" s="8" t="str">
        <f>IF($C$25&lt;&gt;"",CONCATENATE($C$25,"."),"")</f>
        <v>10.89.226.</v>
      </c>
      <c r="D115" s="22">
        <f>D108+1</f>
        <v>16</v>
      </c>
      <c r="E115" s="4" t="str">
        <f>IF($C$25&lt;&gt;"",CONCATENATE($C$25,".",$D$29),"")</f>
        <v>10.89.226.254</v>
      </c>
    </row>
    <row r="116" spans="3:4" ht="12.75">
      <c r="C116" s="47"/>
      <c r="D116" s="47"/>
    </row>
    <row r="117" spans="2:5" ht="12.75">
      <c r="B117" s="37" t="s">
        <v>464</v>
      </c>
      <c r="C117" s="47"/>
      <c r="D117" s="47"/>
      <c r="E117" s="60"/>
    </row>
    <row r="118" spans="3:5" ht="4.5" customHeight="1">
      <c r="C118" s="47"/>
      <c r="D118" s="47"/>
      <c r="E118" s="48"/>
    </row>
    <row r="119" spans="2:7" ht="12.75" customHeight="1">
      <c r="B119" s="184" t="s">
        <v>457</v>
      </c>
      <c r="C119" s="164" t="s">
        <v>450</v>
      </c>
      <c r="D119" s="165"/>
      <c r="E119" s="176" t="s">
        <v>432</v>
      </c>
      <c r="F119" s="33"/>
      <c r="G119" s="33"/>
    </row>
    <row r="120" spans="2:7" ht="12.75">
      <c r="B120" s="185"/>
      <c r="C120" s="64" t="s">
        <v>436</v>
      </c>
      <c r="D120" s="65" t="s">
        <v>437</v>
      </c>
      <c r="E120" s="177"/>
      <c r="F120" s="33"/>
      <c r="G120" s="33"/>
    </row>
    <row r="121" spans="2:5" ht="12.75">
      <c r="B121" s="9" t="s">
        <v>465</v>
      </c>
      <c r="C121" s="8" t="str">
        <f>CONCATENATE($C$24,".")</f>
        <v>10.89.225.</v>
      </c>
      <c r="D121" s="22">
        <f>IF($C$44="y",$D$114+1,"")</f>
        <v>17</v>
      </c>
      <c r="E121" s="4" t="str">
        <f>CONCATENATE($C$24,".",$D$28)</f>
        <v>10.89.225.254</v>
      </c>
    </row>
    <row r="122" spans="2:5" ht="12.75">
      <c r="B122" s="6" t="s">
        <v>466</v>
      </c>
      <c r="C122" s="8" t="str">
        <f>CONCATENATE($C$25,".")</f>
        <v>10.89.226.</v>
      </c>
      <c r="D122" s="22">
        <f>IF($C$44="y",$D$115+1,"")</f>
        <v>17</v>
      </c>
      <c r="E122" s="4" t="str">
        <f>CONCATENATE($C$25,".",$D$28)</f>
        <v>10.89.226.254</v>
      </c>
    </row>
    <row r="123" spans="2:5" ht="12.75">
      <c r="B123" s="53"/>
      <c r="C123" s="47"/>
      <c r="D123" s="47"/>
      <c r="E123" s="48"/>
    </row>
    <row r="124" spans="2:5" ht="12.75">
      <c r="B124" s="53"/>
      <c r="C124" s="47"/>
      <c r="D124" s="47"/>
      <c r="E124" s="48"/>
    </row>
    <row r="125" spans="1:5" ht="16.5">
      <c r="A125" s="41"/>
      <c r="B125" s="45" t="s">
        <v>550</v>
      </c>
      <c r="C125" s="51"/>
      <c r="D125" s="51"/>
      <c r="E125" s="52"/>
    </row>
    <row r="126" spans="3:4" ht="12.75">
      <c r="C126" s="47"/>
      <c r="D126" s="47"/>
    </row>
    <row r="127" spans="2:6" ht="12.75">
      <c r="B127" s="37" t="s">
        <v>383</v>
      </c>
      <c r="C127" s="47"/>
      <c r="D127" s="47"/>
      <c r="E127" s="60"/>
      <c r="F127" s="60"/>
    </row>
    <row r="128" spans="3:5" ht="4.5" customHeight="1">
      <c r="C128" s="47"/>
      <c r="D128" s="47"/>
      <c r="E128" s="48"/>
    </row>
    <row r="129" spans="2:6" ht="12.75">
      <c r="B129" s="66" t="s">
        <v>448</v>
      </c>
      <c r="C129" s="164" t="s">
        <v>449</v>
      </c>
      <c r="D129" s="165"/>
      <c r="E129" s="62" t="s">
        <v>376</v>
      </c>
      <c r="F129" s="61" t="s">
        <v>450</v>
      </c>
    </row>
    <row r="130" spans="2:6" ht="12.75">
      <c r="B130" s="9" t="s">
        <v>451</v>
      </c>
      <c r="C130" s="166" t="str">
        <f>CONCATENATE($C$32,"-rep1")</f>
        <v>priems-rep1</v>
      </c>
      <c r="D130" s="167"/>
      <c r="E130" s="4" t="str">
        <f>CONCATENATE($E$65,":1")</f>
        <v>ce0:1</v>
      </c>
      <c r="F130" s="118" t="str">
        <f>CONCATENATE($C$35,".122.",$G$65)</f>
        <v>10.10.122.10</v>
      </c>
    </row>
    <row r="131" spans="2:6" ht="12.75">
      <c r="B131" s="6" t="s">
        <v>80</v>
      </c>
      <c r="C131" s="166" t="str">
        <f>CONCATENATE($C$34,"-rep1")</f>
        <v>secems-rep1</v>
      </c>
      <c r="D131" s="167"/>
      <c r="E131" s="4" t="str">
        <f>CONCATENATE($E$66,":1")</f>
        <v>ce0:1</v>
      </c>
      <c r="F131" s="118" t="str">
        <f>CONCATENATE($C$35,".122.",$G$66)</f>
        <v>10.10.122.11</v>
      </c>
    </row>
    <row r="132" spans="3:4" ht="12.75">
      <c r="C132" s="47"/>
      <c r="D132" s="47"/>
    </row>
    <row r="133" spans="2:6" ht="12.75">
      <c r="B133" s="37" t="s">
        <v>384</v>
      </c>
      <c r="C133" s="47"/>
      <c r="D133" s="47"/>
      <c r="E133" s="60"/>
      <c r="F133" s="60"/>
    </row>
    <row r="134" spans="3:5" ht="4.5" customHeight="1">
      <c r="C134" s="47"/>
      <c r="D134" s="47"/>
      <c r="E134" s="48"/>
    </row>
    <row r="135" spans="2:6" ht="12.75">
      <c r="B135" s="66" t="s">
        <v>448</v>
      </c>
      <c r="C135" s="164" t="s">
        <v>449</v>
      </c>
      <c r="D135" s="165"/>
      <c r="E135" s="62" t="s">
        <v>376</v>
      </c>
      <c r="F135" s="61" t="s">
        <v>450</v>
      </c>
    </row>
    <row r="136" spans="2:6" ht="12.75">
      <c r="B136" s="9" t="s">
        <v>451</v>
      </c>
      <c r="C136" s="166" t="str">
        <f>CONCATENATE($C$32,"-rep2")</f>
        <v>priems-rep2</v>
      </c>
      <c r="D136" s="167"/>
      <c r="E136" s="4" t="str">
        <f>CONCATENATE($E$74,":1")</f>
        <v>ce1:1</v>
      </c>
      <c r="F136" s="118" t="str">
        <f>CONCATENATE($C$35,".123.",$G$65)</f>
        <v>10.10.123.10</v>
      </c>
    </row>
    <row r="137" spans="2:6" ht="12.75">
      <c r="B137" s="6" t="s">
        <v>80</v>
      </c>
      <c r="C137" s="166" t="str">
        <f>CONCATENATE($C$34,"-rep2")</f>
        <v>secems-rep2</v>
      </c>
      <c r="D137" s="186"/>
      <c r="E137" s="4" t="str">
        <f>CONCATENATE($E$75,":1")</f>
        <v>ce1:1</v>
      </c>
      <c r="F137" s="118" t="str">
        <f>CONCATENATE($C$35,".123.",$G$66)</f>
        <v>10.10.123.11</v>
      </c>
    </row>
    <row r="138" spans="3:4" ht="12.75">
      <c r="C138" s="47"/>
      <c r="D138" s="47"/>
    </row>
    <row r="139" spans="2:6" ht="12.75">
      <c r="B139" s="37" t="s">
        <v>385</v>
      </c>
      <c r="C139" s="47"/>
      <c r="D139" s="47"/>
      <c r="E139" s="60"/>
      <c r="F139" s="60"/>
    </row>
    <row r="140" spans="3:5" ht="4.5" customHeight="1">
      <c r="C140" s="47"/>
      <c r="D140" s="47"/>
      <c r="E140" s="48"/>
    </row>
    <row r="141" spans="2:6" ht="12.75">
      <c r="B141" s="66" t="s">
        <v>448</v>
      </c>
      <c r="C141" s="164" t="s">
        <v>449</v>
      </c>
      <c r="D141" s="165"/>
      <c r="E141" s="62" t="s">
        <v>376</v>
      </c>
      <c r="F141" s="61" t="s">
        <v>450</v>
      </c>
    </row>
    <row r="142" spans="2:6" ht="12.75">
      <c r="B142" s="9" t="s">
        <v>452</v>
      </c>
      <c r="C142" s="166" t="str">
        <f>CONCATENATE($C$31,"-red1")</f>
        <v>prica-red1</v>
      </c>
      <c r="D142" s="167"/>
      <c r="E142" s="4" t="str">
        <f>CONCATENATE($E$67,":1")</f>
        <v>qfe0:1</v>
      </c>
      <c r="F142" s="118" t="str">
        <f>CONCATENATE($C$35,".120.",$G$67)</f>
        <v>10.10.120.12</v>
      </c>
    </row>
    <row r="143" spans="2:6" ht="12.75">
      <c r="B143" s="6" t="s">
        <v>81</v>
      </c>
      <c r="C143" s="166" t="str">
        <f>CONCATENATE($C$33,"-red1")</f>
        <v>secca-red1</v>
      </c>
      <c r="D143" s="167"/>
      <c r="E143" s="4" t="str">
        <f>CONCATENATE($E$68,":1")</f>
        <v>qfe0:1</v>
      </c>
      <c r="F143" s="118" t="str">
        <f>CONCATENATE($C$35,".120.",$G$68)</f>
        <v>10.10.120.13</v>
      </c>
    </row>
    <row r="144" spans="3:4" ht="12.75">
      <c r="C144" s="47"/>
      <c r="D144" s="47"/>
    </row>
    <row r="145" spans="2:6" ht="12.75">
      <c r="B145" s="37" t="s">
        <v>386</v>
      </c>
      <c r="C145" s="47"/>
      <c r="D145" s="47"/>
      <c r="E145" s="60"/>
      <c r="F145" s="60"/>
    </row>
    <row r="146" spans="3:5" ht="4.5" customHeight="1">
      <c r="C146" s="47"/>
      <c r="D146" s="47"/>
      <c r="E146" s="48"/>
    </row>
    <row r="147" spans="2:6" ht="12.75">
      <c r="B147" s="66" t="s">
        <v>448</v>
      </c>
      <c r="C147" s="164" t="s">
        <v>449</v>
      </c>
      <c r="D147" s="165"/>
      <c r="E147" s="62" t="s">
        <v>376</v>
      </c>
      <c r="F147" s="61" t="s">
        <v>450</v>
      </c>
    </row>
    <row r="148" spans="2:6" ht="12.75">
      <c r="B148" s="9" t="s">
        <v>452</v>
      </c>
      <c r="C148" s="166" t="str">
        <f>CONCATENATE($C$31,"-red2")</f>
        <v>prica-red2</v>
      </c>
      <c r="D148" s="167"/>
      <c r="E148" s="4" t="str">
        <f>CONCATENATE($E$76,":1")</f>
        <v>qfe1:1</v>
      </c>
      <c r="F148" s="118" t="str">
        <f>CONCATENATE($C$35,".121.",$G$67)</f>
        <v>10.10.121.12</v>
      </c>
    </row>
    <row r="149" spans="2:6" ht="12.75">
      <c r="B149" s="6" t="s">
        <v>81</v>
      </c>
      <c r="C149" s="166" t="str">
        <f>CONCATENATE($C$33,"-red2")</f>
        <v>secca-red2</v>
      </c>
      <c r="D149" s="167"/>
      <c r="E149" s="4" t="str">
        <f>CONCATENATE($E$77,":1")</f>
        <v>qfe1:1</v>
      </c>
      <c r="F149" s="118" t="str">
        <f>CONCATENATE($C$35,".121.",$G$68)</f>
        <v>10.10.121.13</v>
      </c>
    </row>
    <row r="150" spans="3:4" ht="12.75">
      <c r="C150" s="47"/>
      <c r="D150" s="47"/>
    </row>
    <row r="151" spans="2:6" ht="12.75">
      <c r="B151" s="37" t="s">
        <v>387</v>
      </c>
      <c r="C151" s="47"/>
      <c r="D151" s="47"/>
      <c r="E151" s="60"/>
      <c r="F151" s="60"/>
    </row>
    <row r="152" spans="3:5" ht="4.5" customHeight="1">
      <c r="C152" s="47"/>
      <c r="D152" s="47"/>
      <c r="E152" s="48"/>
    </row>
    <row r="153" spans="2:6" ht="12.75">
      <c r="B153" s="66" t="s">
        <v>448</v>
      </c>
      <c r="C153" s="164" t="s">
        <v>449</v>
      </c>
      <c r="D153" s="165"/>
      <c r="E153" s="62" t="s">
        <v>376</v>
      </c>
      <c r="F153" s="61" t="s">
        <v>450</v>
      </c>
    </row>
    <row r="154" spans="2:6" ht="12.75">
      <c r="B154" s="9" t="s">
        <v>467</v>
      </c>
      <c r="C154" s="166" t="str">
        <f>CONCATENATE($C$32,"-rep1")</f>
        <v>priems-rep1</v>
      </c>
      <c r="D154" s="167"/>
      <c r="E154" s="4" t="str">
        <f>CONCATENATE($E$65,":1")</f>
        <v>ce0:1</v>
      </c>
      <c r="F154" s="118" t="str">
        <f>CONCATENATE($C$35,".122.",$G$65)</f>
        <v>10.10.122.10</v>
      </c>
    </row>
    <row r="155" spans="2:6" ht="13.5" thickBot="1">
      <c r="B155" s="12" t="s">
        <v>82</v>
      </c>
      <c r="C155" s="168" t="str">
        <f>CONCATENATE($C$34,"-rep1")</f>
        <v>secems-rep1</v>
      </c>
      <c r="D155" s="169"/>
      <c r="E155" s="13" t="str">
        <f>CONCATENATE($E$66,":1")</f>
        <v>ce0:1</v>
      </c>
      <c r="F155" s="119" t="str">
        <f>CONCATENATE($C$35,".122.",$G$66)</f>
        <v>10.10.122.11</v>
      </c>
    </row>
    <row r="156" spans="2:6" ht="13.5" thickTop="1">
      <c r="B156" s="10" t="s">
        <v>452</v>
      </c>
      <c r="C156" s="170" t="str">
        <f>CONCATENATE($C$31,"-bill1")</f>
        <v>prica-bill1</v>
      </c>
      <c r="D156" s="171"/>
      <c r="E156" s="11" t="str">
        <f>CONCATENATE($E$67,":2")</f>
        <v>qfe0:2</v>
      </c>
      <c r="F156" s="120" t="str">
        <f>CONCATENATE($C$35,".122.",$G$67)</f>
        <v>10.10.122.12</v>
      </c>
    </row>
    <row r="157" spans="2:6" ht="12.75">
      <c r="B157" s="6" t="s">
        <v>81</v>
      </c>
      <c r="C157" s="166" t="str">
        <f>CONCATENATE($C$33,"-bill1")</f>
        <v>secca-bill1</v>
      </c>
      <c r="D157" s="167"/>
      <c r="E157" s="4" t="str">
        <f>CONCATENATE($E$68,":2")</f>
        <v>qfe0:2</v>
      </c>
      <c r="F157" s="118" t="str">
        <f>CONCATENATE($C$35,".122.",$G$68)</f>
        <v>10.10.122.13</v>
      </c>
    </row>
    <row r="158" spans="3:4" ht="12.75">
      <c r="C158" s="47"/>
      <c r="D158" s="47"/>
    </row>
    <row r="159" spans="2:6" ht="12.75">
      <c r="B159" s="37" t="s">
        <v>388</v>
      </c>
      <c r="C159" s="47"/>
      <c r="D159" s="47"/>
      <c r="E159" s="60"/>
      <c r="F159" s="60"/>
    </row>
    <row r="160" spans="3:5" ht="4.5" customHeight="1">
      <c r="C160" s="47"/>
      <c r="D160" s="47"/>
      <c r="E160" s="48"/>
    </row>
    <row r="161" spans="2:6" ht="12.75">
      <c r="B161" s="66" t="s">
        <v>448</v>
      </c>
      <c r="C161" s="164" t="s">
        <v>449</v>
      </c>
      <c r="D161" s="165"/>
      <c r="E161" s="62" t="s">
        <v>376</v>
      </c>
      <c r="F161" s="61" t="s">
        <v>450</v>
      </c>
    </row>
    <row r="162" spans="2:6" ht="12.75">
      <c r="B162" s="9" t="s">
        <v>467</v>
      </c>
      <c r="C162" s="166" t="str">
        <f>CONCATENATE($C$32,"-rep2")</f>
        <v>priems-rep2</v>
      </c>
      <c r="D162" s="167"/>
      <c r="E162" s="4" t="str">
        <f>CONCATENATE($E$74,":1")</f>
        <v>ce1:1</v>
      </c>
      <c r="F162" s="118" t="str">
        <f>CONCATENATE($C$35,".123.",$G$65)</f>
        <v>10.10.123.10</v>
      </c>
    </row>
    <row r="163" spans="2:6" ht="13.5" thickBot="1">
      <c r="B163" s="12" t="s">
        <v>468</v>
      </c>
      <c r="C163" s="168" t="str">
        <f>CONCATENATE($C$34,"-rep2")</f>
        <v>secems-rep2</v>
      </c>
      <c r="D163" s="169"/>
      <c r="E163" s="13" t="str">
        <f>CONCATENATE($E$75,":1")</f>
        <v>ce1:1</v>
      </c>
      <c r="F163" s="119" t="str">
        <f>CONCATENATE($C$35,".123.",$G$66)</f>
        <v>10.10.123.11</v>
      </c>
    </row>
    <row r="164" spans="2:6" ht="13.5" thickTop="1">
      <c r="B164" s="10" t="s">
        <v>452</v>
      </c>
      <c r="C164" s="170" t="str">
        <f>CONCATENATE($C$31,"-bill2")</f>
        <v>prica-bill2</v>
      </c>
      <c r="D164" s="171"/>
      <c r="E164" s="11" t="str">
        <f>CONCATENATE($E$76,":2")</f>
        <v>qfe1:2</v>
      </c>
      <c r="F164" s="120" t="str">
        <f>CONCATENATE($C$35,".123.",$G$67)</f>
        <v>10.10.123.12</v>
      </c>
    </row>
    <row r="165" spans="2:6" ht="12.75">
      <c r="B165" s="6" t="s">
        <v>81</v>
      </c>
      <c r="C165" s="166" t="str">
        <f>CONCATENATE($C$33,"-bill2")</f>
        <v>secca-bill2</v>
      </c>
      <c r="D165" s="167"/>
      <c r="E165" s="4" t="str">
        <f>CONCATENATE($E$77,":2")</f>
        <v>qfe1:2</v>
      </c>
      <c r="F165" s="118" t="str">
        <f>CONCATENATE($C$35,".123.",$G$68)</f>
        <v>10.10.123.13</v>
      </c>
    </row>
    <row r="166" spans="3:4" ht="12.75">
      <c r="C166" s="47"/>
      <c r="D166" s="47"/>
    </row>
    <row r="167" spans="2:6" ht="12.75">
      <c r="B167" s="37" t="s">
        <v>389</v>
      </c>
      <c r="C167" s="47"/>
      <c r="D167" s="47"/>
      <c r="E167" s="60"/>
      <c r="F167" s="60"/>
    </row>
    <row r="168" spans="3:5" ht="4.5" customHeight="1">
      <c r="C168" s="47"/>
      <c r="D168" s="47"/>
      <c r="E168" s="48"/>
    </row>
    <row r="169" spans="2:6" ht="12.75">
      <c r="B169" s="66" t="s">
        <v>448</v>
      </c>
      <c r="C169" s="164" t="s">
        <v>449</v>
      </c>
      <c r="D169" s="165"/>
      <c r="E169" s="62" t="s">
        <v>376</v>
      </c>
      <c r="F169" s="61" t="s">
        <v>450</v>
      </c>
    </row>
    <row r="170" spans="2:6" ht="12.75">
      <c r="B170" s="9" t="s">
        <v>452</v>
      </c>
      <c r="C170" s="166" t="str">
        <f>CONCATENATE($C$31,"-fs1")</f>
        <v>prica-fs1</v>
      </c>
      <c r="D170" s="167"/>
      <c r="E170" s="4" t="str">
        <f>CONCATENATE($E$67,":3")</f>
        <v>qfe0:3</v>
      </c>
      <c r="F170" s="118" t="str">
        <f>CONCATENATE($C$35,".124.",$G$67)</f>
        <v>10.10.124.12</v>
      </c>
    </row>
    <row r="171" spans="2:8" ht="12.75">
      <c r="B171" s="6" t="s">
        <v>81</v>
      </c>
      <c r="C171" s="166" t="str">
        <f>CONCATENATE($C$33,"-fs1")</f>
        <v>secca-fs1</v>
      </c>
      <c r="D171" s="167"/>
      <c r="E171" s="4" t="str">
        <f>CONCATENATE($E$68,":3")</f>
        <v>qfe0:3</v>
      </c>
      <c r="F171" s="118" t="str">
        <f>CONCATENATE($C$35,".124.",$G$68)</f>
        <v>10.10.124.13</v>
      </c>
      <c r="H171" s="33" t="s">
        <v>104</v>
      </c>
    </row>
    <row r="172" spans="3:4" ht="12.75">
      <c r="C172" s="47"/>
      <c r="D172" s="47"/>
    </row>
    <row r="173" spans="2:6" ht="12.75">
      <c r="B173" s="37" t="s">
        <v>390</v>
      </c>
      <c r="C173" s="47"/>
      <c r="D173" s="47"/>
      <c r="E173" s="60"/>
      <c r="F173" s="60"/>
    </row>
    <row r="174" spans="3:5" ht="4.5" customHeight="1">
      <c r="C174" s="47"/>
      <c r="D174" s="47"/>
      <c r="E174" s="48"/>
    </row>
    <row r="175" spans="2:6" ht="12.75">
      <c r="B175" s="66" t="s">
        <v>448</v>
      </c>
      <c r="C175" s="164" t="s">
        <v>449</v>
      </c>
      <c r="D175" s="165"/>
      <c r="E175" s="62" t="s">
        <v>376</v>
      </c>
      <c r="F175" s="61" t="s">
        <v>450</v>
      </c>
    </row>
    <row r="176" spans="2:6" ht="12.75">
      <c r="B176" s="9" t="s">
        <v>452</v>
      </c>
      <c r="C176" s="166" t="str">
        <f>CONCATENATE($C$31,"-fs2")</f>
        <v>prica-fs2</v>
      </c>
      <c r="D176" s="167"/>
      <c r="E176" s="4" t="str">
        <f>CONCATENATE($E$76,":3")</f>
        <v>qfe1:3</v>
      </c>
      <c r="F176" s="118" t="str">
        <f>CONCATENATE($C$35,".125.",$G$67)</f>
        <v>10.10.125.12</v>
      </c>
    </row>
    <row r="177" spans="2:6" ht="12.75">
      <c r="B177" s="6" t="s">
        <v>81</v>
      </c>
      <c r="C177" s="166" t="str">
        <f>CONCATENATE($C$33,"-fs2")</f>
        <v>secca-fs2</v>
      </c>
      <c r="D177" s="167"/>
      <c r="E177" s="4" t="str">
        <f>CONCATENATE($E$77,":3")</f>
        <v>qfe1:3</v>
      </c>
      <c r="F177" s="118" t="str">
        <f>CONCATENATE($C$35,".125.",$G$68)</f>
        <v>10.10.125.13</v>
      </c>
    </row>
    <row r="178" spans="3:4" ht="12.75">
      <c r="C178" s="47"/>
      <c r="D178" s="47"/>
    </row>
    <row r="179" spans="1:5" ht="16.5">
      <c r="A179" s="41"/>
      <c r="B179" s="41" t="s">
        <v>44</v>
      </c>
      <c r="C179" s="51"/>
      <c r="D179" s="51"/>
      <c r="E179" s="134"/>
    </row>
    <row r="180" ht="12.75">
      <c r="A180" s="136" t="s">
        <v>148</v>
      </c>
    </row>
    <row r="181" spans="2:5" ht="12.75">
      <c r="B181" s="14" t="s">
        <v>75</v>
      </c>
      <c r="C181" s="164" t="s">
        <v>371</v>
      </c>
      <c r="D181" s="165"/>
      <c r="E181" s="15" t="s">
        <v>545</v>
      </c>
    </row>
    <row r="182" spans="2:5" ht="12.75">
      <c r="B182" s="2" t="s">
        <v>147</v>
      </c>
      <c r="C182" s="26" t="s">
        <v>548</v>
      </c>
      <c r="D182" s="100"/>
      <c r="E182" s="29" t="s">
        <v>548</v>
      </c>
    </row>
    <row r="183" spans="2:5" ht="12.75">
      <c r="B183" s="2" t="s">
        <v>67</v>
      </c>
      <c r="C183" s="31" t="s">
        <v>45</v>
      </c>
      <c r="D183" s="100"/>
      <c r="E183" s="29" t="s">
        <v>45</v>
      </c>
    </row>
    <row r="184" spans="2:5" ht="12.75">
      <c r="B184" s="2" t="s">
        <v>52</v>
      </c>
      <c r="C184" s="28" t="s">
        <v>60</v>
      </c>
      <c r="D184" s="121"/>
      <c r="E184" s="17" t="s">
        <v>60</v>
      </c>
    </row>
    <row r="185" spans="2:7" s="40" customFormat="1" ht="13.5" thickBot="1">
      <c r="B185" s="139" t="s">
        <v>53</v>
      </c>
      <c r="C185" s="140">
        <v>20</v>
      </c>
      <c r="D185" s="141"/>
      <c r="E185" s="142">
        <v>20</v>
      </c>
      <c r="F185" s="48"/>
      <c r="G185" s="47"/>
    </row>
    <row r="186" spans="2:5" ht="13.5" thickTop="1">
      <c r="B186" s="137" t="s">
        <v>68</v>
      </c>
      <c r="C186" s="31" t="s">
        <v>45</v>
      </c>
      <c r="D186" s="101"/>
      <c r="E186" s="138" t="s">
        <v>45</v>
      </c>
    </row>
    <row r="187" spans="2:5" ht="12.75">
      <c r="B187" s="2" t="s">
        <v>69</v>
      </c>
      <c r="C187" s="28" t="s">
        <v>74</v>
      </c>
      <c r="D187" s="121"/>
      <c r="E187" s="17" t="s">
        <v>61</v>
      </c>
    </row>
    <row r="188" spans="2:5" ht="13.5" thickBot="1">
      <c r="B188" s="139" t="s">
        <v>70</v>
      </c>
      <c r="C188" s="140">
        <v>20</v>
      </c>
      <c r="D188" s="141"/>
      <c r="E188" s="142">
        <v>20</v>
      </c>
    </row>
    <row r="189" spans="2:5" ht="13.5" thickTop="1">
      <c r="B189" s="137" t="s">
        <v>71</v>
      </c>
      <c r="C189" s="31" t="s">
        <v>45</v>
      </c>
      <c r="D189" s="101"/>
      <c r="E189" s="138" t="s">
        <v>45</v>
      </c>
    </row>
    <row r="190" spans="2:5" ht="12.75">
      <c r="B190" s="2" t="s">
        <v>54</v>
      </c>
      <c r="C190" s="28" t="s">
        <v>62</v>
      </c>
      <c r="D190" s="121"/>
      <c r="E190" s="17" t="s">
        <v>62</v>
      </c>
    </row>
    <row r="191" spans="2:5" ht="13.5" thickBot="1">
      <c r="B191" s="139" t="s">
        <v>55</v>
      </c>
      <c r="C191" s="140">
        <v>20</v>
      </c>
      <c r="D191" s="141"/>
      <c r="E191" s="142">
        <v>20</v>
      </c>
    </row>
    <row r="192" spans="2:5" ht="13.5" thickTop="1">
      <c r="B192" s="137" t="s">
        <v>72</v>
      </c>
      <c r="C192" s="31" t="s">
        <v>45</v>
      </c>
      <c r="D192" s="101"/>
      <c r="E192" s="138" t="s">
        <v>45</v>
      </c>
    </row>
    <row r="193" spans="2:5" ht="12.75">
      <c r="B193" s="2" t="s">
        <v>56</v>
      </c>
      <c r="C193" s="28" t="s">
        <v>63</v>
      </c>
      <c r="D193" s="121"/>
      <c r="E193" s="17" t="s">
        <v>63</v>
      </c>
    </row>
    <row r="194" spans="2:5" ht="13.5" thickBot="1">
      <c r="B194" s="139" t="s">
        <v>57</v>
      </c>
      <c r="C194" s="140">
        <v>20</v>
      </c>
      <c r="D194" s="141"/>
      <c r="E194" s="142">
        <v>20</v>
      </c>
    </row>
    <row r="195" spans="2:5" ht="13.5" thickTop="1">
      <c r="B195" s="137" t="s">
        <v>73</v>
      </c>
      <c r="C195" s="31" t="s">
        <v>45</v>
      </c>
      <c r="D195" s="101"/>
      <c r="E195" s="138" t="s">
        <v>45</v>
      </c>
    </row>
    <row r="196" spans="2:5" ht="12.75">
      <c r="B196" s="2" t="s">
        <v>58</v>
      </c>
      <c r="C196" s="28" t="s">
        <v>64</v>
      </c>
      <c r="D196" s="121"/>
      <c r="E196" s="17" t="s">
        <v>64</v>
      </c>
    </row>
    <row r="197" spans="2:5" ht="12.75">
      <c r="B197" s="2" t="s">
        <v>59</v>
      </c>
      <c r="C197" s="135">
        <v>20</v>
      </c>
      <c r="D197" s="122"/>
      <c r="E197" s="17">
        <v>20</v>
      </c>
    </row>
    <row r="198" ht="12.75">
      <c r="A198" s="136"/>
    </row>
    <row r="199" spans="2:5" ht="12.75">
      <c r="B199" s="14" t="s">
        <v>79</v>
      </c>
      <c r="C199" s="164" t="s">
        <v>371</v>
      </c>
      <c r="D199" s="165"/>
      <c r="E199" s="15" t="s">
        <v>545</v>
      </c>
    </row>
    <row r="200" spans="2:5" ht="12.75">
      <c r="B200" s="2" t="s">
        <v>83</v>
      </c>
      <c r="C200" s="26" t="s">
        <v>548</v>
      </c>
      <c r="D200" s="100"/>
      <c r="E200" s="29" t="s">
        <v>548</v>
      </c>
    </row>
    <row r="201" ht="12.75">
      <c r="A201" s="136"/>
    </row>
    <row r="202" spans="2:5" ht="12.75">
      <c r="B202" s="14" t="s">
        <v>134</v>
      </c>
      <c r="C202" s="164" t="s">
        <v>371</v>
      </c>
      <c r="D202" s="165"/>
      <c r="E202" s="15" t="s">
        <v>545</v>
      </c>
    </row>
    <row r="203" spans="2:5" ht="12.75">
      <c r="B203" s="2" t="s">
        <v>135</v>
      </c>
      <c r="C203" s="145" t="s">
        <v>133</v>
      </c>
      <c r="D203" s="101"/>
      <c r="E203" s="17" t="s">
        <v>133</v>
      </c>
    </row>
    <row r="204" ht="12.75">
      <c r="A204" s="136"/>
    </row>
    <row r="205" spans="2:5" ht="12.75">
      <c r="B205" s="14" t="s">
        <v>647</v>
      </c>
      <c r="C205" s="164" t="s">
        <v>371</v>
      </c>
      <c r="D205" s="165"/>
      <c r="E205" s="15" t="s">
        <v>545</v>
      </c>
    </row>
    <row r="206" spans="2:5" ht="12.75">
      <c r="B206" s="2" t="s">
        <v>648</v>
      </c>
      <c r="C206" s="145" t="s">
        <v>650</v>
      </c>
      <c r="D206" s="101"/>
      <c r="E206" s="17" t="s">
        <v>650</v>
      </c>
    </row>
    <row r="207" spans="2:5" ht="12.75">
      <c r="B207" s="2" t="s">
        <v>649</v>
      </c>
      <c r="C207" s="145" t="s">
        <v>651</v>
      </c>
      <c r="D207" s="101"/>
      <c r="E207" s="17" t="s">
        <v>651</v>
      </c>
    </row>
    <row r="208" ht="12.75">
      <c r="A208" s="136"/>
    </row>
    <row r="209" ht="12.75">
      <c r="A209" s="136" t="s">
        <v>646</v>
      </c>
    </row>
    <row r="210" spans="2:5" ht="12.75">
      <c r="B210" s="14" t="s">
        <v>729</v>
      </c>
      <c r="C210" s="164" t="s">
        <v>371</v>
      </c>
      <c r="D210" s="165"/>
      <c r="E210" s="15" t="s">
        <v>545</v>
      </c>
    </row>
    <row r="211" spans="2:5" ht="12.75">
      <c r="B211" s="14" t="s">
        <v>730</v>
      </c>
      <c r="C211" s="164"/>
      <c r="D211" s="165"/>
      <c r="E211" s="15"/>
    </row>
    <row r="212" spans="2:5" ht="13.5" thickBot="1">
      <c r="B212" s="2" t="s">
        <v>738</v>
      </c>
      <c r="C212" s="158">
        <v>10</v>
      </c>
      <c r="D212" s="153"/>
      <c r="E212" s="157">
        <v>10</v>
      </c>
    </row>
    <row r="213" spans="2:5" ht="14.25" thickBot="1" thickTop="1">
      <c r="B213" s="2" t="s">
        <v>734</v>
      </c>
      <c r="C213" s="158">
        <v>10</v>
      </c>
      <c r="D213" s="153"/>
      <c r="E213" s="157">
        <v>10</v>
      </c>
    </row>
    <row r="214" spans="2:5" ht="14.25" thickBot="1" thickTop="1">
      <c r="B214" s="2" t="s">
        <v>735</v>
      </c>
      <c r="C214" s="158">
        <v>10</v>
      </c>
      <c r="D214" s="153"/>
      <c r="E214" s="157">
        <v>10</v>
      </c>
    </row>
    <row r="215" spans="2:5" ht="14.25" thickBot="1" thickTop="1">
      <c r="B215" s="2" t="s">
        <v>736</v>
      </c>
      <c r="C215" s="158">
        <v>10</v>
      </c>
      <c r="D215" s="153"/>
      <c r="E215" s="157">
        <v>10</v>
      </c>
    </row>
    <row r="216" spans="2:5" ht="14.25" thickBot="1" thickTop="1">
      <c r="B216" s="2" t="s">
        <v>737</v>
      </c>
      <c r="C216" s="158">
        <v>10</v>
      </c>
      <c r="D216" s="153"/>
      <c r="E216" s="157">
        <v>10</v>
      </c>
    </row>
    <row r="217" spans="2:5" ht="13.5" thickTop="1">
      <c r="B217" s="14" t="s">
        <v>731</v>
      </c>
      <c r="C217" s="164"/>
      <c r="D217" s="165"/>
      <c r="E217" s="15"/>
    </row>
    <row r="218" spans="2:5" ht="13.5" thickBot="1">
      <c r="B218" s="2" t="s">
        <v>738</v>
      </c>
      <c r="C218" s="158">
        <v>3</v>
      </c>
      <c r="D218" s="153"/>
      <c r="E218" s="157">
        <v>3</v>
      </c>
    </row>
    <row r="219" spans="2:5" ht="14.25" thickBot="1" thickTop="1">
      <c r="B219" s="2" t="s">
        <v>734</v>
      </c>
      <c r="C219" s="158">
        <v>3</v>
      </c>
      <c r="D219" s="153"/>
      <c r="E219" s="157">
        <v>3</v>
      </c>
    </row>
    <row r="220" spans="2:5" ht="14.25" thickBot="1" thickTop="1">
      <c r="B220" s="2" t="s">
        <v>735</v>
      </c>
      <c r="C220" s="158">
        <v>3</v>
      </c>
      <c r="D220" s="153"/>
      <c r="E220" s="157">
        <v>3</v>
      </c>
    </row>
    <row r="221" spans="2:5" ht="14.25" thickBot="1" thickTop="1">
      <c r="B221" s="2" t="s">
        <v>736</v>
      </c>
      <c r="C221" s="158">
        <v>3</v>
      </c>
      <c r="D221" s="153"/>
      <c r="E221" s="157">
        <v>3</v>
      </c>
    </row>
    <row r="222" spans="2:5" ht="14.25" thickBot="1" thickTop="1">
      <c r="B222" s="2" t="s">
        <v>737</v>
      </c>
      <c r="C222" s="158">
        <v>3</v>
      </c>
      <c r="D222" s="153"/>
      <c r="E222" s="157">
        <v>3</v>
      </c>
    </row>
    <row r="223" ht="13.5" thickTop="1">
      <c r="B223" s="33" t="s">
        <v>132</v>
      </c>
    </row>
    <row r="224" spans="2:5" ht="12.75">
      <c r="B224" s="14" t="s">
        <v>732</v>
      </c>
      <c r="C224" s="164" t="s">
        <v>371</v>
      </c>
      <c r="D224" s="165"/>
      <c r="E224" s="15" t="s">
        <v>545</v>
      </c>
    </row>
    <row r="225" spans="2:5" ht="12.75">
      <c r="B225" s="14" t="s">
        <v>733</v>
      </c>
      <c r="C225" s="164"/>
      <c r="D225" s="165"/>
      <c r="E225" s="15"/>
    </row>
    <row r="226" spans="2:5" ht="12.75">
      <c r="B226" s="2" t="s">
        <v>738</v>
      </c>
      <c r="C226" s="145" t="s">
        <v>163</v>
      </c>
      <c r="D226" s="153"/>
      <c r="E226" s="29" t="s">
        <v>163</v>
      </c>
    </row>
    <row r="227" spans="2:5" ht="12.75">
      <c r="B227" s="2" t="s">
        <v>734</v>
      </c>
      <c r="C227" s="145" t="s">
        <v>164</v>
      </c>
      <c r="D227" s="153"/>
      <c r="E227" s="29" t="s">
        <v>164</v>
      </c>
    </row>
    <row r="228" spans="2:5" ht="12.75">
      <c r="B228" s="2" t="s">
        <v>735</v>
      </c>
      <c r="C228" s="145" t="s">
        <v>165</v>
      </c>
      <c r="D228" s="153"/>
      <c r="E228" s="29" t="s">
        <v>165</v>
      </c>
    </row>
    <row r="229" spans="2:5" ht="12.75">
      <c r="B229" s="2" t="s">
        <v>736</v>
      </c>
      <c r="C229" s="145" t="s">
        <v>163</v>
      </c>
      <c r="D229" s="153"/>
      <c r="E229" s="29" t="s">
        <v>163</v>
      </c>
    </row>
    <row r="230" spans="2:5" ht="12.75">
      <c r="B230" s="2" t="s">
        <v>737</v>
      </c>
      <c r="C230" s="145" t="s">
        <v>164</v>
      </c>
      <c r="D230" s="153"/>
      <c r="E230" s="29" t="s">
        <v>164</v>
      </c>
    </row>
    <row r="231" ht="12.75">
      <c r="A231" s="136"/>
    </row>
    <row r="232" spans="1:5" ht="16.5">
      <c r="A232" s="41"/>
      <c r="B232" s="45" t="s">
        <v>100</v>
      </c>
      <c r="C232" s="51"/>
      <c r="D232" s="51"/>
      <c r="E232" s="52"/>
    </row>
    <row r="233" ht="12.75">
      <c r="A233" s="136" t="s">
        <v>106</v>
      </c>
    </row>
    <row r="234" spans="2:5" ht="12.75">
      <c r="B234" s="184" t="s">
        <v>105</v>
      </c>
      <c r="C234" s="164" t="s">
        <v>450</v>
      </c>
      <c r="D234" s="165"/>
      <c r="E234" s="15"/>
    </row>
    <row r="235" spans="2:5" ht="12.75">
      <c r="B235" s="185"/>
      <c r="C235" s="64" t="s">
        <v>436</v>
      </c>
      <c r="D235" s="65" t="s">
        <v>437</v>
      </c>
      <c r="E235" s="15" t="s">
        <v>545</v>
      </c>
    </row>
    <row r="236" spans="2:5" ht="12.75">
      <c r="B236" s="2" t="s">
        <v>101</v>
      </c>
      <c r="C236" s="8" t="str">
        <f>CONCATENATE($C$35,".124.","/",$C$35,".125.")</f>
        <v>10.10.124./10.10.125.</v>
      </c>
      <c r="D236" s="143">
        <v>146</v>
      </c>
      <c r="E236" s="30">
        <v>146</v>
      </c>
    </row>
    <row r="237" spans="2:5" ht="12.75">
      <c r="B237" s="2" t="s">
        <v>103</v>
      </c>
      <c r="C237" s="8" t="str">
        <f>CONCATENATE($C$35,".124.","/",$C$35,".125.")</f>
        <v>10.10.124./10.10.125.</v>
      </c>
      <c r="D237" s="143">
        <v>205</v>
      </c>
      <c r="E237" s="30">
        <v>205</v>
      </c>
    </row>
    <row r="238" spans="2:5" ht="12.75">
      <c r="B238" s="2" t="s">
        <v>102</v>
      </c>
      <c r="C238" s="8" t="str">
        <f>CONCATENATE($C$35,".124.","/",$C$35,".125.")</f>
        <v>10.10.124./10.10.125.</v>
      </c>
      <c r="D238" s="143">
        <v>235</v>
      </c>
      <c r="E238" s="30">
        <v>235</v>
      </c>
    </row>
    <row r="241" spans="1:256" ht="12.75">
      <c r="A241" s="35"/>
      <c r="B241" s="35"/>
      <c r="C241" s="35"/>
      <c r="D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35"/>
      <c r="BB241" s="35"/>
      <c r="BC241" s="35"/>
      <c r="BD241" s="35"/>
      <c r="BE241" s="35"/>
      <c r="BF241" s="35"/>
      <c r="BG241" s="35"/>
      <c r="BH241" s="35"/>
      <c r="BI241" s="35"/>
      <c r="BJ241" s="35"/>
      <c r="BK241" s="35"/>
      <c r="BL241" s="35"/>
      <c r="BM241" s="35"/>
      <c r="BN241" s="35"/>
      <c r="BO241" s="35"/>
      <c r="BP241" s="35"/>
      <c r="BQ241" s="35"/>
      <c r="BR241" s="35"/>
      <c r="BS241" s="35"/>
      <c r="BT241" s="35"/>
      <c r="BU241" s="35"/>
      <c r="BV241" s="35"/>
      <c r="BW241" s="35"/>
      <c r="BX241" s="35"/>
      <c r="BY241" s="35"/>
      <c r="BZ241" s="35"/>
      <c r="CA241" s="35"/>
      <c r="CB241" s="35"/>
      <c r="CC241" s="35"/>
      <c r="CD241" s="35"/>
      <c r="CE241" s="35"/>
      <c r="CF241" s="35"/>
      <c r="CG241" s="35"/>
      <c r="CH241" s="35"/>
      <c r="CI241" s="35"/>
      <c r="CJ241" s="35"/>
      <c r="CK241" s="35"/>
      <c r="CL241" s="35"/>
      <c r="CM241" s="35"/>
      <c r="CN241" s="35"/>
      <c r="CO241" s="35"/>
      <c r="CP241" s="35"/>
      <c r="CQ241" s="35"/>
      <c r="CR241" s="35"/>
      <c r="CS241" s="35"/>
      <c r="CT241" s="35"/>
      <c r="CU241" s="35"/>
      <c r="CV241" s="35"/>
      <c r="CW241" s="35"/>
      <c r="CX241" s="35"/>
      <c r="CY241" s="35"/>
      <c r="CZ241" s="35"/>
      <c r="DA241" s="35"/>
      <c r="DB241" s="35"/>
      <c r="DC241" s="35"/>
      <c r="DD241" s="35"/>
      <c r="DE241" s="35"/>
      <c r="DF241" s="35"/>
      <c r="DG241" s="35"/>
      <c r="DH241" s="35"/>
      <c r="DI241" s="35"/>
      <c r="DJ241" s="35"/>
      <c r="DK241" s="35"/>
      <c r="DL241" s="35"/>
      <c r="DM241" s="35"/>
      <c r="DN241" s="35"/>
      <c r="DO241" s="35"/>
      <c r="DP241" s="35"/>
      <c r="DQ241" s="35"/>
      <c r="DR241" s="35"/>
      <c r="DS241" s="35"/>
      <c r="DT241" s="35"/>
      <c r="DU241" s="35"/>
      <c r="DV241" s="35"/>
      <c r="DW241" s="35"/>
      <c r="DX241" s="35"/>
      <c r="DY241" s="35"/>
      <c r="DZ241" s="35"/>
      <c r="EA241" s="35"/>
      <c r="EB241" s="35"/>
      <c r="EC241" s="35"/>
      <c r="ED241" s="35"/>
      <c r="EE241" s="35"/>
      <c r="EF241" s="35"/>
      <c r="EG241" s="35"/>
      <c r="EH241" s="35"/>
      <c r="EI241" s="35"/>
      <c r="EJ241" s="35"/>
      <c r="EK241" s="35"/>
      <c r="EL241" s="35"/>
      <c r="EM241" s="35"/>
      <c r="EN241" s="35"/>
      <c r="EO241" s="35"/>
      <c r="EP241" s="35"/>
      <c r="EQ241" s="35"/>
      <c r="ER241" s="35"/>
      <c r="ES241" s="35"/>
      <c r="ET241" s="35"/>
      <c r="EU241" s="35"/>
      <c r="EV241" s="35"/>
      <c r="EW241" s="35"/>
      <c r="EX241" s="35"/>
      <c r="EY241" s="35"/>
      <c r="EZ241" s="35"/>
      <c r="FA241" s="35"/>
      <c r="FB241" s="35"/>
      <c r="FC241" s="35"/>
      <c r="FD241" s="35"/>
      <c r="FE241" s="35"/>
      <c r="FF241" s="35"/>
      <c r="FG241" s="35"/>
      <c r="FH241" s="35"/>
      <c r="FI241" s="35"/>
      <c r="FJ241" s="35"/>
      <c r="FK241" s="35"/>
      <c r="FL241" s="35"/>
      <c r="FM241" s="35"/>
      <c r="FN241" s="35"/>
      <c r="FO241" s="35"/>
      <c r="FP241" s="35"/>
      <c r="FQ241" s="35"/>
      <c r="FR241" s="35"/>
      <c r="FS241" s="35"/>
      <c r="FT241" s="35"/>
      <c r="FU241" s="35"/>
      <c r="FV241" s="35"/>
      <c r="FW241" s="35"/>
      <c r="FX241" s="35"/>
      <c r="FY241" s="35"/>
      <c r="FZ241" s="35"/>
      <c r="GA241" s="35"/>
      <c r="GB241" s="35"/>
      <c r="GC241" s="35"/>
      <c r="GD241" s="35"/>
      <c r="GE241" s="35"/>
      <c r="GF241" s="35"/>
      <c r="GG241" s="35"/>
      <c r="GH241" s="35"/>
      <c r="GI241" s="35"/>
      <c r="GJ241" s="35"/>
      <c r="GK241" s="35"/>
      <c r="GL241" s="35"/>
      <c r="GM241" s="35"/>
      <c r="GN241" s="35"/>
      <c r="GO241" s="35"/>
      <c r="GP241" s="35"/>
      <c r="GQ241" s="35"/>
      <c r="GR241" s="35"/>
      <c r="GS241" s="35"/>
      <c r="GT241" s="35"/>
      <c r="GU241" s="35"/>
      <c r="GV241" s="35"/>
      <c r="GW241" s="35"/>
      <c r="GX241" s="35"/>
      <c r="GY241" s="35"/>
      <c r="GZ241" s="35"/>
      <c r="HA241" s="35"/>
      <c r="HB241" s="35"/>
      <c r="HC241" s="35"/>
      <c r="HD241" s="35"/>
      <c r="HE241" s="35"/>
      <c r="HF241" s="35"/>
      <c r="HG241" s="35"/>
      <c r="HH241" s="35"/>
      <c r="HI241" s="35"/>
      <c r="HJ241" s="35"/>
      <c r="HK241" s="35"/>
      <c r="HL241" s="35"/>
      <c r="HM241" s="35"/>
      <c r="HN241" s="35"/>
      <c r="HO241" s="35"/>
      <c r="HP241" s="35"/>
      <c r="HQ241" s="35"/>
      <c r="HR241" s="35"/>
      <c r="HS241" s="35"/>
      <c r="HT241" s="35"/>
      <c r="HU241" s="35"/>
      <c r="HV241" s="35"/>
      <c r="HW241" s="35"/>
      <c r="HX241" s="35"/>
      <c r="HY241" s="35"/>
      <c r="HZ241" s="35"/>
      <c r="IA241" s="35"/>
      <c r="IB241" s="35"/>
      <c r="IC241" s="35"/>
      <c r="ID241" s="35"/>
      <c r="IE241" s="35"/>
      <c r="IF241" s="35"/>
      <c r="IG241" s="35"/>
      <c r="IH241" s="35"/>
      <c r="II241" s="35"/>
      <c r="IJ241" s="35"/>
      <c r="IK241" s="35"/>
      <c r="IL241" s="35"/>
      <c r="IM241" s="35"/>
      <c r="IN241" s="35"/>
      <c r="IO241" s="35"/>
      <c r="IP241" s="35"/>
      <c r="IQ241" s="35"/>
      <c r="IR241" s="35"/>
      <c r="IS241" s="35"/>
      <c r="IT241" s="35"/>
      <c r="IU241" s="35"/>
      <c r="IV241" s="35"/>
    </row>
    <row r="242" spans="1:256" ht="12.75">
      <c r="A242" s="35"/>
      <c r="B242" s="35"/>
      <c r="C242" s="35"/>
      <c r="D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c r="AP242" s="35"/>
      <c r="AQ242" s="35"/>
      <c r="AR242" s="35"/>
      <c r="AS242" s="35"/>
      <c r="AT242" s="35"/>
      <c r="AU242" s="35"/>
      <c r="AV242" s="35"/>
      <c r="AW242" s="35"/>
      <c r="AX242" s="35"/>
      <c r="AY242" s="35"/>
      <c r="AZ242" s="35"/>
      <c r="BA242" s="35"/>
      <c r="BB242" s="35"/>
      <c r="BC242" s="35"/>
      <c r="BD242" s="35"/>
      <c r="BE242" s="35"/>
      <c r="BF242" s="35"/>
      <c r="BG242" s="35"/>
      <c r="BH242" s="35"/>
      <c r="BI242" s="35"/>
      <c r="BJ242" s="35"/>
      <c r="BK242" s="35"/>
      <c r="BL242" s="35"/>
      <c r="BM242" s="35"/>
      <c r="BN242" s="35"/>
      <c r="BO242" s="35"/>
      <c r="BP242" s="35"/>
      <c r="BQ242" s="35"/>
      <c r="BR242" s="35"/>
      <c r="BS242" s="35"/>
      <c r="BT242" s="35"/>
      <c r="BU242" s="35"/>
      <c r="BV242" s="35"/>
      <c r="BW242" s="35"/>
      <c r="BX242" s="35"/>
      <c r="BY242" s="35"/>
      <c r="BZ242" s="35"/>
      <c r="CA242" s="35"/>
      <c r="CB242" s="35"/>
      <c r="CC242" s="35"/>
      <c r="CD242" s="35"/>
      <c r="CE242" s="35"/>
      <c r="CF242" s="35"/>
      <c r="CG242" s="35"/>
      <c r="CH242" s="35"/>
      <c r="CI242" s="35"/>
      <c r="CJ242" s="35"/>
      <c r="CK242" s="35"/>
      <c r="CL242" s="35"/>
      <c r="CM242" s="35"/>
      <c r="CN242" s="35"/>
      <c r="CO242" s="35"/>
      <c r="CP242" s="35"/>
      <c r="CQ242" s="35"/>
      <c r="CR242" s="35"/>
      <c r="CS242" s="35"/>
      <c r="CT242" s="35"/>
      <c r="CU242" s="35"/>
      <c r="CV242" s="35"/>
      <c r="CW242" s="35"/>
      <c r="CX242" s="35"/>
      <c r="CY242" s="35"/>
      <c r="CZ242" s="35"/>
      <c r="DA242" s="35"/>
      <c r="DB242" s="35"/>
      <c r="DC242" s="35"/>
      <c r="DD242" s="35"/>
      <c r="DE242" s="35"/>
      <c r="DF242" s="35"/>
      <c r="DG242" s="35"/>
      <c r="DH242" s="35"/>
      <c r="DI242" s="35"/>
      <c r="DJ242" s="35"/>
      <c r="DK242" s="35"/>
      <c r="DL242" s="35"/>
      <c r="DM242" s="35"/>
      <c r="DN242" s="35"/>
      <c r="DO242" s="35"/>
      <c r="DP242" s="35"/>
      <c r="DQ242" s="35"/>
      <c r="DR242" s="35"/>
      <c r="DS242" s="35"/>
      <c r="DT242" s="35"/>
      <c r="DU242" s="35"/>
      <c r="DV242" s="35"/>
      <c r="DW242" s="35"/>
      <c r="DX242" s="35"/>
      <c r="DY242" s="35"/>
      <c r="DZ242" s="35"/>
      <c r="EA242" s="35"/>
      <c r="EB242" s="35"/>
      <c r="EC242" s="35"/>
      <c r="ED242" s="35"/>
      <c r="EE242" s="35"/>
      <c r="EF242" s="35"/>
      <c r="EG242" s="35"/>
      <c r="EH242" s="35"/>
      <c r="EI242" s="35"/>
      <c r="EJ242" s="35"/>
      <c r="EK242" s="35"/>
      <c r="EL242" s="35"/>
      <c r="EM242" s="35"/>
      <c r="EN242" s="35"/>
      <c r="EO242" s="35"/>
      <c r="EP242" s="35"/>
      <c r="EQ242" s="35"/>
      <c r="ER242" s="35"/>
      <c r="ES242" s="35"/>
      <c r="ET242" s="35"/>
      <c r="EU242" s="35"/>
      <c r="EV242" s="35"/>
      <c r="EW242" s="35"/>
      <c r="EX242" s="35"/>
      <c r="EY242" s="35"/>
      <c r="EZ242" s="35"/>
      <c r="FA242" s="35"/>
      <c r="FB242" s="35"/>
      <c r="FC242" s="35"/>
      <c r="FD242" s="35"/>
      <c r="FE242" s="35"/>
      <c r="FF242" s="35"/>
      <c r="FG242" s="35"/>
      <c r="FH242" s="35"/>
      <c r="FI242" s="35"/>
      <c r="FJ242" s="35"/>
      <c r="FK242" s="35"/>
      <c r="FL242" s="35"/>
      <c r="FM242" s="35"/>
      <c r="FN242" s="35"/>
      <c r="FO242" s="35"/>
      <c r="FP242" s="35"/>
      <c r="FQ242" s="35"/>
      <c r="FR242" s="35"/>
      <c r="FS242" s="35"/>
      <c r="FT242" s="35"/>
      <c r="FU242" s="35"/>
      <c r="FV242" s="35"/>
      <c r="FW242" s="35"/>
      <c r="FX242" s="35"/>
      <c r="FY242" s="35"/>
      <c r="FZ242" s="35"/>
      <c r="GA242" s="35"/>
      <c r="GB242" s="35"/>
      <c r="GC242" s="35"/>
      <c r="GD242" s="35"/>
      <c r="GE242" s="35"/>
      <c r="GF242" s="35"/>
      <c r="GG242" s="35"/>
      <c r="GH242" s="35"/>
      <c r="GI242" s="35"/>
      <c r="GJ242" s="35"/>
      <c r="GK242" s="35"/>
      <c r="GL242" s="35"/>
      <c r="GM242" s="35"/>
      <c r="GN242" s="35"/>
      <c r="GO242" s="35"/>
      <c r="GP242" s="35"/>
      <c r="GQ242" s="35"/>
      <c r="GR242" s="35"/>
      <c r="GS242" s="35"/>
      <c r="GT242" s="35"/>
      <c r="GU242" s="35"/>
      <c r="GV242" s="35"/>
      <c r="GW242" s="35"/>
      <c r="GX242" s="35"/>
      <c r="GY242" s="35"/>
      <c r="GZ242" s="35"/>
      <c r="HA242" s="35"/>
      <c r="HB242" s="35"/>
      <c r="HC242" s="35"/>
      <c r="HD242" s="35"/>
      <c r="HE242" s="35"/>
      <c r="HF242" s="35"/>
      <c r="HG242" s="35"/>
      <c r="HH242" s="35"/>
      <c r="HI242" s="35"/>
      <c r="HJ242" s="35"/>
      <c r="HK242" s="35"/>
      <c r="HL242" s="35"/>
      <c r="HM242" s="35"/>
      <c r="HN242" s="35"/>
      <c r="HO242" s="35"/>
      <c r="HP242" s="35"/>
      <c r="HQ242" s="35"/>
      <c r="HR242" s="35"/>
      <c r="HS242" s="35"/>
      <c r="HT242" s="35"/>
      <c r="HU242" s="35"/>
      <c r="HV242" s="35"/>
      <c r="HW242" s="35"/>
      <c r="HX242" s="35"/>
      <c r="HY242" s="35"/>
      <c r="HZ242" s="35"/>
      <c r="IA242" s="35"/>
      <c r="IB242" s="35"/>
      <c r="IC242" s="35"/>
      <c r="ID242" s="35"/>
      <c r="IE242" s="35"/>
      <c r="IF242" s="35"/>
      <c r="IG242" s="35"/>
      <c r="IH242" s="35"/>
      <c r="II242" s="35"/>
      <c r="IJ242" s="35"/>
      <c r="IK242" s="35"/>
      <c r="IL242" s="35"/>
      <c r="IM242" s="35"/>
      <c r="IN242" s="35"/>
      <c r="IO242" s="35"/>
      <c r="IP242" s="35"/>
      <c r="IQ242" s="35"/>
      <c r="IR242" s="35"/>
      <c r="IS242" s="35"/>
      <c r="IT242" s="35"/>
      <c r="IU242" s="35"/>
      <c r="IV242" s="35"/>
    </row>
    <row r="243" spans="1:256" ht="12.75">
      <c r="A243" s="35"/>
      <c r="B243" s="35"/>
      <c r="C243" s="35"/>
      <c r="D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c r="AW243" s="35"/>
      <c r="AX243" s="35"/>
      <c r="AY243" s="35"/>
      <c r="AZ243" s="35"/>
      <c r="BA243" s="35"/>
      <c r="BB243" s="35"/>
      <c r="BC243" s="35"/>
      <c r="BD243" s="35"/>
      <c r="BE243" s="35"/>
      <c r="BF243" s="35"/>
      <c r="BG243" s="35"/>
      <c r="BH243" s="35"/>
      <c r="BI243" s="35"/>
      <c r="BJ243" s="35"/>
      <c r="BK243" s="35"/>
      <c r="BL243" s="35"/>
      <c r="BM243" s="35"/>
      <c r="BN243" s="35"/>
      <c r="BO243" s="35"/>
      <c r="BP243" s="35"/>
      <c r="BQ243" s="35"/>
      <c r="BR243" s="35"/>
      <c r="BS243" s="35"/>
      <c r="BT243" s="35"/>
      <c r="BU243" s="35"/>
      <c r="BV243" s="35"/>
      <c r="BW243" s="35"/>
      <c r="BX243" s="35"/>
      <c r="BY243" s="35"/>
      <c r="BZ243" s="35"/>
      <c r="CA243" s="35"/>
      <c r="CB243" s="35"/>
      <c r="CC243" s="35"/>
      <c r="CD243" s="35"/>
      <c r="CE243" s="35"/>
      <c r="CF243" s="35"/>
      <c r="CG243" s="35"/>
      <c r="CH243" s="35"/>
      <c r="CI243" s="35"/>
      <c r="CJ243" s="35"/>
      <c r="CK243" s="35"/>
      <c r="CL243" s="35"/>
      <c r="CM243" s="35"/>
      <c r="CN243" s="35"/>
      <c r="CO243" s="35"/>
      <c r="CP243" s="35"/>
      <c r="CQ243" s="35"/>
      <c r="CR243" s="35"/>
      <c r="CS243" s="35"/>
      <c r="CT243" s="35"/>
      <c r="CU243" s="35"/>
      <c r="CV243" s="35"/>
      <c r="CW243" s="35"/>
      <c r="CX243" s="35"/>
      <c r="CY243" s="35"/>
      <c r="CZ243" s="35"/>
      <c r="DA243" s="35"/>
      <c r="DB243" s="35"/>
      <c r="DC243" s="35"/>
      <c r="DD243" s="35"/>
      <c r="DE243" s="35"/>
      <c r="DF243" s="35"/>
      <c r="DG243" s="35"/>
      <c r="DH243" s="35"/>
      <c r="DI243" s="35"/>
      <c r="DJ243" s="35"/>
      <c r="DK243" s="35"/>
      <c r="DL243" s="35"/>
      <c r="DM243" s="35"/>
      <c r="DN243" s="35"/>
      <c r="DO243" s="35"/>
      <c r="DP243" s="35"/>
      <c r="DQ243" s="35"/>
      <c r="DR243" s="35"/>
      <c r="DS243" s="35"/>
      <c r="DT243" s="35"/>
      <c r="DU243" s="35"/>
      <c r="DV243" s="35"/>
      <c r="DW243" s="35"/>
      <c r="DX243" s="35"/>
      <c r="DY243" s="35"/>
      <c r="DZ243" s="35"/>
      <c r="EA243" s="35"/>
      <c r="EB243" s="35"/>
      <c r="EC243" s="35"/>
      <c r="ED243" s="35"/>
      <c r="EE243" s="35"/>
      <c r="EF243" s="35"/>
      <c r="EG243" s="35"/>
      <c r="EH243" s="35"/>
      <c r="EI243" s="35"/>
      <c r="EJ243" s="35"/>
      <c r="EK243" s="35"/>
      <c r="EL243" s="35"/>
      <c r="EM243" s="35"/>
      <c r="EN243" s="35"/>
      <c r="EO243" s="35"/>
      <c r="EP243" s="35"/>
      <c r="EQ243" s="35"/>
      <c r="ER243" s="35"/>
      <c r="ES243" s="35"/>
      <c r="ET243" s="35"/>
      <c r="EU243" s="35"/>
      <c r="EV243" s="35"/>
      <c r="EW243" s="35"/>
      <c r="EX243" s="35"/>
      <c r="EY243" s="35"/>
      <c r="EZ243" s="35"/>
      <c r="FA243" s="35"/>
      <c r="FB243" s="35"/>
      <c r="FC243" s="35"/>
      <c r="FD243" s="35"/>
      <c r="FE243" s="35"/>
      <c r="FF243" s="35"/>
      <c r="FG243" s="35"/>
      <c r="FH243" s="35"/>
      <c r="FI243" s="35"/>
      <c r="FJ243" s="35"/>
      <c r="FK243" s="35"/>
      <c r="FL243" s="35"/>
      <c r="FM243" s="35"/>
      <c r="FN243" s="35"/>
      <c r="FO243" s="35"/>
      <c r="FP243" s="35"/>
      <c r="FQ243" s="35"/>
      <c r="FR243" s="35"/>
      <c r="FS243" s="35"/>
      <c r="FT243" s="35"/>
      <c r="FU243" s="35"/>
      <c r="FV243" s="35"/>
      <c r="FW243" s="35"/>
      <c r="FX243" s="35"/>
      <c r="FY243" s="35"/>
      <c r="FZ243" s="35"/>
      <c r="GA243" s="35"/>
      <c r="GB243" s="35"/>
      <c r="GC243" s="35"/>
      <c r="GD243" s="35"/>
      <c r="GE243" s="35"/>
      <c r="GF243" s="35"/>
      <c r="GG243" s="35"/>
      <c r="GH243" s="35"/>
      <c r="GI243" s="35"/>
      <c r="GJ243" s="35"/>
      <c r="GK243" s="35"/>
      <c r="GL243" s="35"/>
      <c r="GM243" s="35"/>
      <c r="GN243" s="35"/>
      <c r="GO243" s="35"/>
      <c r="GP243" s="35"/>
      <c r="GQ243" s="35"/>
      <c r="GR243" s="35"/>
      <c r="GS243" s="35"/>
      <c r="GT243" s="35"/>
      <c r="GU243" s="35"/>
      <c r="GV243" s="35"/>
      <c r="GW243" s="35"/>
      <c r="GX243" s="35"/>
      <c r="GY243" s="35"/>
      <c r="GZ243" s="35"/>
      <c r="HA243" s="35"/>
      <c r="HB243" s="35"/>
      <c r="HC243" s="35"/>
      <c r="HD243" s="35"/>
      <c r="HE243" s="35"/>
      <c r="HF243" s="35"/>
      <c r="HG243" s="35"/>
      <c r="HH243" s="35"/>
      <c r="HI243" s="35"/>
      <c r="HJ243" s="35"/>
      <c r="HK243" s="35"/>
      <c r="HL243" s="35"/>
      <c r="HM243" s="35"/>
      <c r="HN243" s="35"/>
      <c r="HO243" s="35"/>
      <c r="HP243" s="35"/>
      <c r="HQ243" s="35"/>
      <c r="HR243" s="35"/>
      <c r="HS243" s="35"/>
      <c r="HT243" s="35"/>
      <c r="HU243" s="35"/>
      <c r="HV243" s="35"/>
      <c r="HW243" s="35"/>
      <c r="HX243" s="35"/>
      <c r="HY243" s="35"/>
      <c r="HZ243" s="35"/>
      <c r="IA243" s="35"/>
      <c r="IB243" s="35"/>
      <c r="IC243" s="35"/>
      <c r="ID243" s="35"/>
      <c r="IE243" s="35"/>
      <c r="IF243" s="35"/>
      <c r="IG243" s="35"/>
      <c r="IH243" s="35"/>
      <c r="II243" s="35"/>
      <c r="IJ243" s="35"/>
      <c r="IK243" s="35"/>
      <c r="IL243" s="35"/>
      <c r="IM243" s="35"/>
      <c r="IN243" s="35"/>
      <c r="IO243" s="35"/>
      <c r="IP243" s="35"/>
      <c r="IQ243" s="35"/>
      <c r="IR243" s="35"/>
      <c r="IS243" s="35"/>
      <c r="IT243" s="35"/>
      <c r="IU243" s="35"/>
      <c r="IV243" s="35"/>
    </row>
    <row r="244" spans="1:256" ht="12.75">
      <c r="A244" s="35"/>
      <c r="B244" s="35"/>
      <c r="C244" s="35"/>
      <c r="D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35"/>
      <c r="BB244" s="35"/>
      <c r="BC244" s="35"/>
      <c r="BD244" s="35"/>
      <c r="BE244" s="35"/>
      <c r="BF244" s="35"/>
      <c r="BG244" s="35"/>
      <c r="BH244" s="35"/>
      <c r="BI244" s="35"/>
      <c r="BJ244" s="35"/>
      <c r="BK244" s="35"/>
      <c r="BL244" s="35"/>
      <c r="BM244" s="35"/>
      <c r="BN244" s="35"/>
      <c r="BO244" s="35"/>
      <c r="BP244" s="35"/>
      <c r="BQ244" s="35"/>
      <c r="BR244" s="35"/>
      <c r="BS244" s="35"/>
      <c r="BT244" s="35"/>
      <c r="BU244" s="35"/>
      <c r="BV244" s="35"/>
      <c r="BW244" s="35"/>
      <c r="BX244" s="35"/>
      <c r="BY244" s="35"/>
      <c r="BZ244" s="35"/>
      <c r="CA244" s="35"/>
      <c r="CB244" s="35"/>
      <c r="CC244" s="35"/>
      <c r="CD244" s="35"/>
      <c r="CE244" s="35"/>
      <c r="CF244" s="35"/>
      <c r="CG244" s="35"/>
      <c r="CH244" s="35"/>
      <c r="CI244" s="35"/>
      <c r="CJ244" s="35"/>
      <c r="CK244" s="35"/>
      <c r="CL244" s="35"/>
      <c r="CM244" s="35"/>
      <c r="CN244" s="35"/>
      <c r="CO244" s="35"/>
      <c r="CP244" s="35"/>
      <c r="CQ244" s="35"/>
      <c r="CR244" s="35"/>
      <c r="CS244" s="35"/>
      <c r="CT244" s="35"/>
      <c r="CU244" s="35"/>
      <c r="CV244" s="35"/>
      <c r="CW244" s="35"/>
      <c r="CX244" s="35"/>
      <c r="CY244" s="35"/>
      <c r="CZ244" s="35"/>
      <c r="DA244" s="35"/>
      <c r="DB244" s="35"/>
      <c r="DC244" s="35"/>
      <c r="DD244" s="35"/>
      <c r="DE244" s="35"/>
      <c r="DF244" s="35"/>
      <c r="DG244" s="35"/>
      <c r="DH244" s="35"/>
      <c r="DI244" s="35"/>
      <c r="DJ244" s="35"/>
      <c r="DK244" s="35"/>
      <c r="DL244" s="35"/>
      <c r="DM244" s="35"/>
      <c r="DN244" s="35"/>
      <c r="DO244" s="35"/>
      <c r="DP244" s="35"/>
      <c r="DQ244" s="35"/>
      <c r="DR244" s="35"/>
      <c r="DS244" s="35"/>
      <c r="DT244" s="35"/>
      <c r="DU244" s="35"/>
      <c r="DV244" s="35"/>
      <c r="DW244" s="35"/>
      <c r="DX244" s="35"/>
      <c r="DY244" s="35"/>
      <c r="DZ244" s="35"/>
      <c r="EA244" s="35"/>
      <c r="EB244" s="35"/>
      <c r="EC244" s="35"/>
      <c r="ED244" s="35"/>
      <c r="EE244" s="35"/>
      <c r="EF244" s="35"/>
      <c r="EG244" s="35"/>
      <c r="EH244" s="35"/>
      <c r="EI244" s="35"/>
      <c r="EJ244" s="35"/>
      <c r="EK244" s="35"/>
      <c r="EL244" s="35"/>
      <c r="EM244" s="35"/>
      <c r="EN244" s="35"/>
      <c r="EO244" s="35"/>
      <c r="EP244" s="35"/>
      <c r="EQ244" s="35"/>
      <c r="ER244" s="35"/>
      <c r="ES244" s="35"/>
      <c r="ET244" s="35"/>
      <c r="EU244" s="35"/>
      <c r="EV244" s="35"/>
      <c r="EW244" s="35"/>
      <c r="EX244" s="35"/>
      <c r="EY244" s="35"/>
      <c r="EZ244" s="35"/>
      <c r="FA244" s="35"/>
      <c r="FB244" s="35"/>
      <c r="FC244" s="35"/>
      <c r="FD244" s="35"/>
      <c r="FE244" s="35"/>
      <c r="FF244" s="35"/>
      <c r="FG244" s="35"/>
      <c r="FH244" s="35"/>
      <c r="FI244" s="35"/>
      <c r="FJ244" s="35"/>
      <c r="FK244" s="35"/>
      <c r="FL244" s="35"/>
      <c r="FM244" s="35"/>
      <c r="FN244" s="35"/>
      <c r="FO244" s="35"/>
      <c r="FP244" s="35"/>
      <c r="FQ244" s="35"/>
      <c r="FR244" s="35"/>
      <c r="FS244" s="35"/>
      <c r="FT244" s="35"/>
      <c r="FU244" s="35"/>
      <c r="FV244" s="35"/>
      <c r="FW244" s="35"/>
      <c r="FX244" s="35"/>
      <c r="FY244" s="35"/>
      <c r="FZ244" s="35"/>
      <c r="GA244" s="35"/>
      <c r="GB244" s="35"/>
      <c r="GC244" s="35"/>
      <c r="GD244" s="35"/>
      <c r="GE244" s="35"/>
      <c r="GF244" s="35"/>
      <c r="GG244" s="35"/>
      <c r="GH244" s="35"/>
      <c r="GI244" s="35"/>
      <c r="GJ244" s="35"/>
      <c r="GK244" s="35"/>
      <c r="GL244" s="35"/>
      <c r="GM244" s="35"/>
      <c r="GN244" s="35"/>
      <c r="GO244" s="35"/>
      <c r="GP244" s="35"/>
      <c r="GQ244" s="35"/>
      <c r="GR244" s="35"/>
      <c r="GS244" s="35"/>
      <c r="GT244" s="35"/>
      <c r="GU244" s="35"/>
      <c r="GV244" s="35"/>
      <c r="GW244" s="35"/>
      <c r="GX244" s="35"/>
      <c r="GY244" s="35"/>
      <c r="GZ244" s="35"/>
      <c r="HA244" s="35"/>
      <c r="HB244" s="35"/>
      <c r="HC244" s="35"/>
      <c r="HD244" s="35"/>
      <c r="HE244" s="35"/>
      <c r="HF244" s="35"/>
      <c r="HG244" s="35"/>
      <c r="HH244" s="35"/>
      <c r="HI244" s="35"/>
      <c r="HJ244" s="35"/>
      <c r="HK244" s="35"/>
      <c r="HL244" s="35"/>
      <c r="HM244" s="35"/>
      <c r="HN244" s="35"/>
      <c r="HO244" s="35"/>
      <c r="HP244" s="35"/>
      <c r="HQ244" s="35"/>
      <c r="HR244" s="35"/>
      <c r="HS244" s="35"/>
      <c r="HT244" s="35"/>
      <c r="HU244" s="35"/>
      <c r="HV244" s="35"/>
      <c r="HW244" s="35"/>
      <c r="HX244" s="35"/>
      <c r="HY244" s="35"/>
      <c r="HZ244" s="35"/>
      <c r="IA244" s="35"/>
      <c r="IB244" s="35"/>
      <c r="IC244" s="35"/>
      <c r="ID244" s="35"/>
      <c r="IE244" s="35"/>
      <c r="IF244" s="35"/>
      <c r="IG244" s="35"/>
      <c r="IH244" s="35"/>
      <c r="II244" s="35"/>
      <c r="IJ244" s="35"/>
      <c r="IK244" s="35"/>
      <c r="IL244" s="35"/>
      <c r="IM244" s="35"/>
      <c r="IN244" s="35"/>
      <c r="IO244" s="35"/>
      <c r="IP244" s="35"/>
      <c r="IQ244" s="35"/>
      <c r="IR244" s="35"/>
      <c r="IS244" s="35"/>
      <c r="IT244" s="35"/>
      <c r="IU244" s="35"/>
      <c r="IV244" s="35"/>
    </row>
    <row r="245" spans="1:256" ht="12.75">
      <c r="A245" s="35"/>
      <c r="B245" s="35"/>
      <c r="C245" s="35"/>
      <c r="D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c r="AW245" s="35"/>
      <c r="AX245" s="35"/>
      <c r="AY245" s="35"/>
      <c r="AZ245" s="35"/>
      <c r="BA245" s="35"/>
      <c r="BB245" s="35"/>
      <c r="BC245" s="35"/>
      <c r="BD245" s="35"/>
      <c r="BE245" s="35"/>
      <c r="BF245" s="35"/>
      <c r="BG245" s="35"/>
      <c r="BH245" s="35"/>
      <c r="BI245" s="35"/>
      <c r="BJ245" s="35"/>
      <c r="BK245" s="35"/>
      <c r="BL245" s="35"/>
      <c r="BM245" s="35"/>
      <c r="BN245" s="35"/>
      <c r="BO245" s="35"/>
      <c r="BP245" s="35"/>
      <c r="BQ245" s="35"/>
      <c r="BR245" s="35"/>
      <c r="BS245" s="35"/>
      <c r="BT245" s="35"/>
      <c r="BU245" s="35"/>
      <c r="BV245" s="35"/>
      <c r="BW245" s="35"/>
      <c r="BX245" s="35"/>
      <c r="BY245" s="35"/>
      <c r="BZ245" s="35"/>
      <c r="CA245" s="35"/>
      <c r="CB245" s="35"/>
      <c r="CC245" s="35"/>
      <c r="CD245" s="35"/>
      <c r="CE245" s="35"/>
      <c r="CF245" s="35"/>
      <c r="CG245" s="35"/>
      <c r="CH245" s="35"/>
      <c r="CI245" s="35"/>
      <c r="CJ245" s="35"/>
      <c r="CK245" s="35"/>
      <c r="CL245" s="35"/>
      <c r="CM245" s="35"/>
      <c r="CN245" s="35"/>
      <c r="CO245" s="35"/>
      <c r="CP245" s="35"/>
      <c r="CQ245" s="35"/>
      <c r="CR245" s="35"/>
      <c r="CS245" s="35"/>
      <c r="CT245" s="35"/>
      <c r="CU245" s="35"/>
      <c r="CV245" s="35"/>
      <c r="CW245" s="35"/>
      <c r="CX245" s="35"/>
      <c r="CY245" s="35"/>
      <c r="CZ245" s="35"/>
      <c r="DA245" s="35"/>
      <c r="DB245" s="35"/>
      <c r="DC245" s="35"/>
      <c r="DD245" s="35"/>
      <c r="DE245" s="35"/>
      <c r="DF245" s="35"/>
      <c r="DG245" s="35"/>
      <c r="DH245" s="35"/>
      <c r="DI245" s="35"/>
      <c r="DJ245" s="35"/>
      <c r="DK245" s="35"/>
      <c r="DL245" s="35"/>
      <c r="DM245" s="35"/>
      <c r="DN245" s="35"/>
      <c r="DO245" s="35"/>
      <c r="DP245" s="35"/>
      <c r="DQ245" s="35"/>
      <c r="DR245" s="35"/>
      <c r="DS245" s="35"/>
      <c r="DT245" s="35"/>
      <c r="DU245" s="35"/>
      <c r="DV245" s="35"/>
      <c r="DW245" s="35"/>
      <c r="DX245" s="35"/>
      <c r="DY245" s="35"/>
      <c r="DZ245" s="35"/>
      <c r="EA245" s="35"/>
      <c r="EB245" s="35"/>
      <c r="EC245" s="35"/>
      <c r="ED245" s="35"/>
      <c r="EE245" s="35"/>
      <c r="EF245" s="35"/>
      <c r="EG245" s="35"/>
      <c r="EH245" s="35"/>
      <c r="EI245" s="35"/>
      <c r="EJ245" s="35"/>
      <c r="EK245" s="35"/>
      <c r="EL245" s="35"/>
      <c r="EM245" s="35"/>
      <c r="EN245" s="35"/>
      <c r="EO245" s="35"/>
      <c r="EP245" s="35"/>
      <c r="EQ245" s="35"/>
      <c r="ER245" s="35"/>
      <c r="ES245" s="35"/>
      <c r="ET245" s="35"/>
      <c r="EU245" s="35"/>
      <c r="EV245" s="35"/>
      <c r="EW245" s="35"/>
      <c r="EX245" s="35"/>
      <c r="EY245" s="35"/>
      <c r="EZ245" s="35"/>
      <c r="FA245" s="35"/>
      <c r="FB245" s="35"/>
      <c r="FC245" s="35"/>
      <c r="FD245" s="35"/>
      <c r="FE245" s="35"/>
      <c r="FF245" s="35"/>
      <c r="FG245" s="35"/>
      <c r="FH245" s="35"/>
      <c r="FI245" s="35"/>
      <c r="FJ245" s="35"/>
      <c r="FK245" s="35"/>
      <c r="FL245" s="35"/>
      <c r="FM245" s="35"/>
      <c r="FN245" s="35"/>
      <c r="FO245" s="35"/>
      <c r="FP245" s="35"/>
      <c r="FQ245" s="35"/>
      <c r="FR245" s="35"/>
      <c r="FS245" s="35"/>
      <c r="FT245" s="35"/>
      <c r="FU245" s="35"/>
      <c r="FV245" s="35"/>
      <c r="FW245" s="35"/>
      <c r="FX245" s="35"/>
      <c r="FY245" s="35"/>
      <c r="FZ245" s="35"/>
      <c r="GA245" s="35"/>
      <c r="GB245" s="35"/>
      <c r="GC245" s="35"/>
      <c r="GD245" s="35"/>
      <c r="GE245" s="35"/>
      <c r="GF245" s="35"/>
      <c r="GG245" s="35"/>
      <c r="GH245" s="35"/>
      <c r="GI245" s="35"/>
      <c r="GJ245" s="35"/>
      <c r="GK245" s="35"/>
      <c r="GL245" s="35"/>
      <c r="GM245" s="35"/>
      <c r="GN245" s="35"/>
      <c r="GO245" s="35"/>
      <c r="GP245" s="35"/>
      <c r="GQ245" s="35"/>
      <c r="GR245" s="35"/>
      <c r="GS245" s="35"/>
      <c r="GT245" s="35"/>
      <c r="GU245" s="35"/>
      <c r="GV245" s="35"/>
      <c r="GW245" s="35"/>
      <c r="GX245" s="35"/>
      <c r="GY245" s="35"/>
      <c r="GZ245" s="35"/>
      <c r="HA245" s="35"/>
      <c r="HB245" s="35"/>
      <c r="HC245" s="35"/>
      <c r="HD245" s="35"/>
      <c r="HE245" s="35"/>
      <c r="HF245" s="35"/>
      <c r="HG245" s="35"/>
      <c r="HH245" s="35"/>
      <c r="HI245" s="35"/>
      <c r="HJ245" s="35"/>
      <c r="HK245" s="35"/>
      <c r="HL245" s="35"/>
      <c r="HM245" s="35"/>
      <c r="HN245" s="35"/>
      <c r="HO245" s="35"/>
      <c r="HP245" s="35"/>
      <c r="HQ245" s="35"/>
      <c r="HR245" s="35"/>
      <c r="HS245" s="35"/>
      <c r="HT245" s="35"/>
      <c r="HU245" s="35"/>
      <c r="HV245" s="35"/>
      <c r="HW245" s="35"/>
      <c r="HX245" s="35"/>
      <c r="HY245" s="35"/>
      <c r="HZ245" s="35"/>
      <c r="IA245" s="35"/>
      <c r="IB245" s="35"/>
      <c r="IC245" s="35"/>
      <c r="ID245" s="35"/>
      <c r="IE245" s="35"/>
      <c r="IF245" s="35"/>
      <c r="IG245" s="35"/>
      <c r="IH245" s="35"/>
      <c r="II245" s="35"/>
      <c r="IJ245" s="35"/>
      <c r="IK245" s="35"/>
      <c r="IL245" s="35"/>
      <c r="IM245" s="35"/>
      <c r="IN245" s="35"/>
      <c r="IO245" s="35"/>
      <c r="IP245" s="35"/>
      <c r="IQ245" s="35"/>
      <c r="IR245" s="35"/>
      <c r="IS245" s="35"/>
      <c r="IT245" s="35"/>
      <c r="IU245" s="35"/>
      <c r="IV245" s="35"/>
    </row>
    <row r="246" spans="1:256" ht="12.75">
      <c r="A246" s="35"/>
      <c r="B246" s="35"/>
      <c r="C246" s="35"/>
      <c r="D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c r="AN246" s="35"/>
      <c r="AO246" s="35"/>
      <c r="AP246" s="35"/>
      <c r="AQ246" s="35"/>
      <c r="AR246" s="35"/>
      <c r="AS246" s="35"/>
      <c r="AT246" s="35"/>
      <c r="AU246" s="35"/>
      <c r="AV246" s="35"/>
      <c r="AW246" s="35"/>
      <c r="AX246" s="35"/>
      <c r="AY246" s="35"/>
      <c r="AZ246" s="35"/>
      <c r="BA246" s="35"/>
      <c r="BB246" s="35"/>
      <c r="BC246" s="35"/>
      <c r="BD246" s="35"/>
      <c r="BE246" s="35"/>
      <c r="BF246" s="35"/>
      <c r="BG246" s="35"/>
      <c r="BH246" s="35"/>
      <c r="BI246" s="35"/>
      <c r="BJ246" s="35"/>
      <c r="BK246" s="35"/>
      <c r="BL246" s="35"/>
      <c r="BM246" s="35"/>
      <c r="BN246" s="35"/>
      <c r="BO246" s="35"/>
      <c r="BP246" s="35"/>
      <c r="BQ246" s="35"/>
      <c r="BR246" s="35"/>
      <c r="BS246" s="35"/>
      <c r="BT246" s="35"/>
      <c r="BU246" s="35"/>
      <c r="BV246" s="35"/>
      <c r="BW246" s="35"/>
      <c r="BX246" s="35"/>
      <c r="BY246" s="35"/>
      <c r="BZ246" s="35"/>
      <c r="CA246" s="35"/>
      <c r="CB246" s="35"/>
      <c r="CC246" s="35"/>
      <c r="CD246" s="35"/>
      <c r="CE246" s="35"/>
      <c r="CF246" s="35"/>
      <c r="CG246" s="35"/>
      <c r="CH246" s="35"/>
      <c r="CI246" s="35"/>
      <c r="CJ246" s="35"/>
      <c r="CK246" s="35"/>
      <c r="CL246" s="35"/>
      <c r="CM246" s="35"/>
      <c r="CN246" s="35"/>
      <c r="CO246" s="35"/>
      <c r="CP246" s="35"/>
      <c r="CQ246" s="35"/>
      <c r="CR246" s="35"/>
      <c r="CS246" s="35"/>
      <c r="CT246" s="35"/>
      <c r="CU246" s="35"/>
      <c r="CV246" s="35"/>
      <c r="CW246" s="35"/>
      <c r="CX246" s="35"/>
      <c r="CY246" s="35"/>
      <c r="CZ246" s="35"/>
      <c r="DA246" s="35"/>
      <c r="DB246" s="35"/>
      <c r="DC246" s="35"/>
      <c r="DD246" s="35"/>
      <c r="DE246" s="35"/>
      <c r="DF246" s="35"/>
      <c r="DG246" s="35"/>
      <c r="DH246" s="35"/>
      <c r="DI246" s="35"/>
      <c r="DJ246" s="35"/>
      <c r="DK246" s="35"/>
      <c r="DL246" s="35"/>
      <c r="DM246" s="35"/>
      <c r="DN246" s="35"/>
      <c r="DO246" s="35"/>
      <c r="DP246" s="35"/>
      <c r="DQ246" s="35"/>
      <c r="DR246" s="35"/>
      <c r="DS246" s="35"/>
      <c r="DT246" s="35"/>
      <c r="DU246" s="35"/>
      <c r="DV246" s="35"/>
      <c r="DW246" s="35"/>
      <c r="DX246" s="35"/>
      <c r="DY246" s="35"/>
      <c r="DZ246" s="35"/>
      <c r="EA246" s="35"/>
      <c r="EB246" s="35"/>
      <c r="EC246" s="35"/>
      <c r="ED246" s="35"/>
      <c r="EE246" s="35"/>
      <c r="EF246" s="35"/>
      <c r="EG246" s="35"/>
      <c r="EH246" s="35"/>
      <c r="EI246" s="35"/>
      <c r="EJ246" s="35"/>
      <c r="EK246" s="35"/>
      <c r="EL246" s="35"/>
      <c r="EM246" s="35"/>
      <c r="EN246" s="35"/>
      <c r="EO246" s="35"/>
      <c r="EP246" s="35"/>
      <c r="EQ246" s="35"/>
      <c r="ER246" s="35"/>
      <c r="ES246" s="35"/>
      <c r="ET246" s="35"/>
      <c r="EU246" s="35"/>
      <c r="EV246" s="35"/>
      <c r="EW246" s="35"/>
      <c r="EX246" s="35"/>
      <c r="EY246" s="35"/>
      <c r="EZ246" s="35"/>
      <c r="FA246" s="35"/>
      <c r="FB246" s="35"/>
      <c r="FC246" s="35"/>
      <c r="FD246" s="35"/>
      <c r="FE246" s="35"/>
      <c r="FF246" s="35"/>
      <c r="FG246" s="35"/>
      <c r="FH246" s="35"/>
      <c r="FI246" s="35"/>
      <c r="FJ246" s="35"/>
      <c r="FK246" s="35"/>
      <c r="FL246" s="35"/>
      <c r="FM246" s="35"/>
      <c r="FN246" s="35"/>
      <c r="FO246" s="35"/>
      <c r="FP246" s="35"/>
      <c r="FQ246" s="35"/>
      <c r="FR246" s="35"/>
      <c r="FS246" s="35"/>
      <c r="FT246" s="35"/>
      <c r="FU246" s="35"/>
      <c r="FV246" s="35"/>
      <c r="FW246" s="35"/>
      <c r="FX246" s="35"/>
      <c r="FY246" s="35"/>
      <c r="FZ246" s="35"/>
      <c r="GA246" s="35"/>
      <c r="GB246" s="35"/>
      <c r="GC246" s="35"/>
      <c r="GD246" s="35"/>
      <c r="GE246" s="35"/>
      <c r="GF246" s="35"/>
      <c r="GG246" s="35"/>
      <c r="GH246" s="35"/>
      <c r="GI246" s="35"/>
      <c r="GJ246" s="35"/>
      <c r="GK246" s="35"/>
      <c r="GL246" s="35"/>
      <c r="GM246" s="35"/>
      <c r="GN246" s="35"/>
      <c r="GO246" s="35"/>
      <c r="GP246" s="35"/>
      <c r="GQ246" s="35"/>
      <c r="GR246" s="35"/>
      <c r="GS246" s="35"/>
      <c r="GT246" s="35"/>
      <c r="GU246" s="35"/>
      <c r="GV246" s="35"/>
      <c r="GW246" s="35"/>
      <c r="GX246" s="35"/>
      <c r="GY246" s="35"/>
      <c r="GZ246" s="35"/>
      <c r="HA246" s="35"/>
      <c r="HB246" s="35"/>
      <c r="HC246" s="35"/>
      <c r="HD246" s="35"/>
      <c r="HE246" s="35"/>
      <c r="HF246" s="35"/>
      <c r="HG246" s="35"/>
      <c r="HH246" s="35"/>
      <c r="HI246" s="35"/>
      <c r="HJ246" s="35"/>
      <c r="HK246" s="35"/>
      <c r="HL246" s="35"/>
      <c r="HM246" s="35"/>
      <c r="HN246" s="35"/>
      <c r="HO246" s="35"/>
      <c r="HP246" s="35"/>
      <c r="HQ246" s="35"/>
      <c r="HR246" s="35"/>
      <c r="HS246" s="35"/>
      <c r="HT246" s="35"/>
      <c r="HU246" s="35"/>
      <c r="HV246" s="35"/>
      <c r="HW246" s="35"/>
      <c r="HX246" s="35"/>
      <c r="HY246" s="35"/>
      <c r="HZ246" s="35"/>
      <c r="IA246" s="35"/>
      <c r="IB246" s="35"/>
      <c r="IC246" s="35"/>
      <c r="ID246" s="35"/>
      <c r="IE246" s="35"/>
      <c r="IF246" s="35"/>
      <c r="IG246" s="35"/>
      <c r="IH246" s="35"/>
      <c r="II246" s="35"/>
      <c r="IJ246" s="35"/>
      <c r="IK246" s="35"/>
      <c r="IL246" s="35"/>
      <c r="IM246" s="35"/>
      <c r="IN246" s="35"/>
      <c r="IO246" s="35"/>
      <c r="IP246" s="35"/>
      <c r="IQ246" s="35"/>
      <c r="IR246" s="35"/>
      <c r="IS246" s="35"/>
      <c r="IT246" s="35"/>
      <c r="IU246" s="35"/>
      <c r="IV246" s="35"/>
    </row>
  </sheetData>
  <sheetProtection/>
  <mergeCells count="94">
    <mergeCell ref="D52:D54"/>
    <mergeCell ref="C234:D234"/>
    <mergeCell ref="B234:B235"/>
    <mergeCell ref="E98:E99"/>
    <mergeCell ref="E91:E92"/>
    <mergeCell ref="C199:D199"/>
    <mergeCell ref="C176:D176"/>
    <mergeCell ref="C177:D177"/>
    <mergeCell ref="C162:D162"/>
    <mergeCell ref="C163:D163"/>
    <mergeCell ref="C164:D164"/>
    <mergeCell ref="H63:H64"/>
    <mergeCell ref="H65:H68"/>
    <mergeCell ref="E63:E64"/>
    <mergeCell ref="C67:D67"/>
    <mergeCell ref="C68:D68"/>
    <mergeCell ref="C65:D65"/>
    <mergeCell ref="C66:D66"/>
    <mergeCell ref="F63:G63"/>
    <mergeCell ref="C63:D64"/>
    <mergeCell ref="H74:H77"/>
    <mergeCell ref="H72:H73"/>
    <mergeCell ref="B72:B73"/>
    <mergeCell ref="E72:E73"/>
    <mergeCell ref="F72:G72"/>
    <mergeCell ref="C72:D73"/>
    <mergeCell ref="C77:D77"/>
    <mergeCell ref="C8:D8"/>
    <mergeCell ref="C3:D3"/>
    <mergeCell ref="C4:D4"/>
    <mergeCell ref="C6:D6"/>
    <mergeCell ref="C7:D7"/>
    <mergeCell ref="C10:D10"/>
    <mergeCell ref="C141:D141"/>
    <mergeCell ref="C147:D147"/>
    <mergeCell ref="C142:D142"/>
    <mergeCell ref="C130:D130"/>
    <mergeCell ref="C131:D131"/>
    <mergeCell ref="C136:D136"/>
    <mergeCell ref="C137:D137"/>
    <mergeCell ref="C135:D135"/>
    <mergeCell ref="C143:D143"/>
    <mergeCell ref="B63:B64"/>
    <mergeCell ref="C74:D74"/>
    <mergeCell ref="C75:D75"/>
    <mergeCell ref="C76:D76"/>
    <mergeCell ref="C169:D169"/>
    <mergeCell ref="C175:D175"/>
    <mergeCell ref="C170:D170"/>
    <mergeCell ref="C171:D171"/>
    <mergeCell ref="B84:B85"/>
    <mergeCell ref="B112:B113"/>
    <mergeCell ref="B119:B120"/>
    <mergeCell ref="B91:B92"/>
    <mergeCell ref="B98:B99"/>
    <mergeCell ref="B105:B106"/>
    <mergeCell ref="E84:E85"/>
    <mergeCell ref="C148:D148"/>
    <mergeCell ref="C129:D129"/>
    <mergeCell ref="C105:D105"/>
    <mergeCell ref="C119:D119"/>
    <mergeCell ref="F84:G84"/>
    <mergeCell ref="E119:E120"/>
    <mergeCell ref="E105:E106"/>
    <mergeCell ref="C112:D112"/>
    <mergeCell ref="E112:E113"/>
    <mergeCell ref="C86:D86"/>
    <mergeCell ref="C84:D85"/>
    <mergeCell ref="F91:G91"/>
    <mergeCell ref="C98:D98"/>
    <mergeCell ref="C87:D87"/>
    <mergeCell ref="H84:H85"/>
    <mergeCell ref="H86:H87"/>
    <mergeCell ref="H93:H94"/>
    <mergeCell ref="H91:H92"/>
    <mergeCell ref="C225:D225"/>
    <mergeCell ref="C205:D205"/>
    <mergeCell ref="C202:D202"/>
    <mergeCell ref="C181:D181"/>
    <mergeCell ref="C224:D224"/>
    <mergeCell ref="C149:D149"/>
    <mergeCell ref="C93:D93"/>
    <mergeCell ref="C94:D94"/>
    <mergeCell ref="C91:D92"/>
    <mergeCell ref="C153:D153"/>
    <mergeCell ref="C210:D210"/>
    <mergeCell ref="C211:D211"/>
    <mergeCell ref="C217:D217"/>
    <mergeCell ref="C161:D161"/>
    <mergeCell ref="C154:D154"/>
    <mergeCell ref="C155:D155"/>
    <mergeCell ref="C156:D156"/>
    <mergeCell ref="C157:D157"/>
    <mergeCell ref="C165:D165"/>
  </mergeCells>
  <conditionalFormatting sqref="C11:C21 C24:C27 C44:C54 C186 C189 C192 C195 C200 C203 C182:C183 C226:C230 C206:C207 C30:C41">
    <cfRule type="expression" priority="1" dxfId="0" stopIfTrue="1">
      <formula>C11=E11</formula>
    </cfRule>
  </conditionalFormatting>
  <conditionalFormatting sqref="G66:G68 G75:G77 G87 G94">
    <cfRule type="cellIs" priority="2" dxfId="0" operator="equal" stopIfTrue="1">
      <formula>G65+1</formula>
    </cfRule>
  </conditionalFormatting>
  <conditionalFormatting sqref="G74">
    <cfRule type="cellIs" priority="3" dxfId="0" operator="equal" stopIfTrue="1">
      <formula>G65</formula>
    </cfRule>
  </conditionalFormatting>
  <conditionalFormatting sqref="D22:D23 D28:D29">
    <cfRule type="expression" priority="4" dxfId="0" stopIfTrue="1">
      <formula>D22=E22</formula>
    </cfRule>
  </conditionalFormatting>
  <conditionalFormatting sqref="G86">
    <cfRule type="cellIs" priority="5" dxfId="0" operator="equal" stopIfTrue="1">
      <formula>G67</formula>
    </cfRule>
  </conditionalFormatting>
  <conditionalFormatting sqref="D107:D108 D114:D115 D121:D122">
    <cfRule type="cellIs" priority="6" dxfId="0" operator="equal" stopIfTrue="1">
      <formula>D100+1</formula>
    </cfRule>
  </conditionalFormatting>
  <conditionalFormatting sqref="D236:D237">
    <cfRule type="cellIs" priority="7" dxfId="0" operator="equal" stopIfTrue="1">
      <formula>D199+1</formula>
    </cfRule>
  </conditionalFormatting>
  <conditionalFormatting sqref="D238">
    <cfRule type="cellIs" priority="8" dxfId="0" operator="equal" stopIfTrue="1">
      <formula>#REF!+1</formula>
    </cfRule>
  </conditionalFormatting>
  <conditionalFormatting sqref="G65">
    <cfRule type="cellIs" priority="9" dxfId="0" operator="equal" stopIfTrue="1">
      <formula>10</formula>
    </cfRule>
  </conditionalFormatting>
  <conditionalFormatting sqref="D101">
    <cfRule type="cellIs" priority="10" dxfId="0" operator="equal" stopIfTrue="1">
      <formula>$G$94+1</formula>
    </cfRule>
  </conditionalFormatting>
  <conditionalFormatting sqref="D100">
    <cfRule type="cellIs" priority="11" dxfId="0" operator="equal" stopIfTrue="1">
      <formula>$G$87+1</formula>
    </cfRule>
  </conditionalFormatting>
  <conditionalFormatting sqref="G93">
    <cfRule type="cellIs" priority="12" dxfId="0" operator="equal" stopIfTrue="1">
      <formula>$G$76</formula>
    </cfRule>
  </conditionalFormatting>
  <dataValidations count="21">
    <dataValidation type="list" operator="notBetween" showInputMessage="1" showErrorMessage="1" errorTitle="Allowed values are y or n" error="Allowed values are &quot;y&quot; or &quot;n&quot; only." sqref="C226:C230">
      <formula1>"21:00,21:15,21:30,21:45,22:00,22:15,22:30,22:45,23:00,23:15,23:30,23:45,24:00,24:15,24:30,24:45,01:00,01:15,01:30,01:45,02:00,02:15,02:30,02:45,03:00,03:15,03:30,03:45,04:00,04:15,04:30,04:45"</formula1>
    </dataValidation>
    <dataValidation type="list" allowBlank="1" showInputMessage="1" showErrorMessage="1" prompt="Use the drop-down arrow to the right of the field to select a valid entry." error="Not an allowed value.&#10;&#10;(Hint: Press the &quot;Cancel&quot; button, then use the drop-down&#10; arrow to the right of the field to select a valid entry.)" sqref="C206:C207">
      <formula1>"semicolon,semi-colon,verticalbar,vertical-bar,linefeed,comma,caret"</formula1>
    </dataValidation>
    <dataValidation type="decimal" operator="greaterThan" allowBlank="1" showInputMessage="1" showErrorMessage="1" errorTitle="Illegal value" error="Zero or negative values are not allowed." sqref="C212:C216">
      <formula1>0</formula1>
    </dataValidation>
    <dataValidation type="decimal" operator="greaterThanOrEqual" allowBlank="1" showInputMessage="1" showErrorMessage="1" errorTitle="Illegal value" error="Negative values are not accepted" sqref="C218:C222">
      <formula1>0</formula1>
    </dataValidation>
    <dataValidation type="textLength" allowBlank="1" showInputMessage="1" showErrorMessage="1" errorTitle="Invalid length" error="Must be between 3 and 12 characters long." sqref="C183 C195 C192 C189 C186 C11">
      <formula1>3</formula1>
      <formula2>12</formula2>
    </dataValidation>
    <dataValidation type="list" showInputMessage="1" showErrorMessage="1" errorTitle="Allowed values are y or n" error="Allowed values are &quot;y&quot; or &quot;n&quot; only." sqref="C47:C48 C182 C200 C44">
      <formula1>"y,n"</formula1>
    </dataValidation>
    <dataValidation type="custom" allowBlank="1" showInputMessage="1" showErrorMessage="1" errorTitle="Invalid Value" error="The value for this IP address is not within the&#10;same range as the Broker IP address for the &#10;given Subnet Mask." sqref="G65:G68">
      <formula1>AND(G65&gt;$F$22,G65&lt;$G$22)</formula1>
    </dataValidation>
    <dataValidation type="custom" allowBlank="1" showInputMessage="1" showErrorMessage="1" errorTitle="Invalid Value" error="The value for this IP address is not within the&#10;same range as the Broker IP address for the &#10;given Subnet Mask." sqref="G86:G87 D100 D107 D114">
      <formula1>AND(G86&gt;$F$28,G86&lt;$G$28)</formula1>
    </dataValidation>
    <dataValidation type="custom" allowBlank="1" showInputMessage="1" showErrorMessage="1" errorTitle="Invalid Value" error="The value for this IP address is not within the&#10;same range as the Broker IP address for the &#10;given Subnet Mask." sqref="G74:G77">
      <formula1>AND(G74&gt;$F$23,G74&lt;$G$23)</formula1>
    </dataValidation>
    <dataValidation type="custom" allowBlank="1" showInputMessage="1" showErrorMessage="1" errorTitle="Invalid Value" error="The value for this IP address is not within the&#10;same range as the Broker IP address for the &#10;given Subnet Mask." sqref="G93:G94 D101 D108 D115">
      <formula1>AND(G93&gt;$F$29,G93&lt;$G$29)</formula1>
    </dataValidation>
    <dataValidation type="list" showInputMessage="1" showErrorMessage="1" prompt="Use the drop-down arrow to the right of the field to select a valid entry." error="Not an allowed value.&#10;&#10;(Hint: Press the &quot;Cancel&quot; button, then use the drop-down&#10; arrow to the right of the field to select a valid entry.)" sqref="C49">
      <formula1>"small, medium4G, medium, demo, router, localLnp,cableM,cableL,mgc"</formula1>
    </dataValidation>
    <dataValidation type="list" allowBlank="1" showInputMessage="1" showErrorMessage="1" sqref="D50">
      <formula1>"1, 2, 3, 4, 5"</formula1>
    </dataValidation>
    <dataValidation type="list" allowBlank="1" showInputMessage="1" showErrorMessage="1" prompt="Use the drop-down arrow to the right of the field to select a valid entry." error="Not an allowed value.&#10;&#10;(Hint: Press the &quot;Cancel&quot; button, then use the drop-down&#10; arrow to the right of the field to select a valid entry.)" sqref="C46">
      <formula1>"CABLE, T1"</formula1>
    </dataValidation>
    <dataValidation type="list" allowBlank="1" showInputMessage="1" showErrorMessage="1" prompt="Use the drop-down arrow to the right of the field to select a valid entry." error="Not an allowed value.&#10;&#10;(Hint: Press the &quot;Cancel&quot; button, then use the drop-down&#10; arrow to the right of the field to select a valid entry.)" sqref="C203">
      <formula1>"mgcp, mga"</formula1>
    </dataValidation>
    <dataValidation type="list" showInputMessage="1" showErrorMessage="1" errorTitle="Allowed values are y or n" error="Allowed values are &quot;y&quot; or &quot;n&quot; only." sqref="C45">
      <formula1>"n,cache_only,secondary_dns_all_hosts,secondary_dns_CA_only"</formula1>
    </dataValidation>
    <dataValidation type="custom" allowBlank="1" showInputMessage="1" showErrorMessage="1" errorTitle="Do not input a trailing &quot;.&quot;" error="Please do not enter a period &quot;.&quot; after the third octet." sqref="C24:C25 C18:C19">
      <formula1>RIGHT(C24)&lt;&gt;"."</formula1>
    </dataValidation>
    <dataValidation allowBlank="1" showInputMessage="1" showErrorMessage="1" errorTitle="Do not input a trailing &quot;.&quot;" error="Please do not enter a period &quot;.&quot; after the third octet." sqref="F17"/>
    <dataValidation type="textLength" allowBlank="1" showInputMessage="1" showErrorMessage="1" errorTitle="Invalid Length" error="Must be less than 46 characters long." sqref="C30">
      <formula1>1</formula1>
      <formula2>46</formula2>
    </dataValidation>
    <dataValidation type="custom" allowBlank="1" showInputMessage="1" showErrorMessage="1" errorTitle="Invalid Subnet Mask" error="Invalid Subnet Mask - last octet should be one of .0, .128, .192, .224, .240, .248 or .252" sqref="C20:C21 C26:C27">
      <formula1>IF(LEFT(C20,SEARCH(".",C20,LEN(C20)-3)-1)="255.255.255",IF((MOD(256,(256-RIGHT(C20,LEN(C20)-SEARCH(".",C20,LEN(C20)-3)))))=0,1,0),1)</formula1>
    </dataValidation>
    <dataValidation type="custom" allowBlank="1" showInputMessage="1" showErrorMessage="1" errorTitle="Do not input a trailing &quot;.&quot;" error="Please do not enter a period &quot;.&quot; after the second octet." sqref="C35">
      <formula1>RIGHT(C35)&lt;&gt;"."</formula1>
    </dataValidation>
    <dataValidation type="list" allowBlank="1" showInputMessage="1" showErrorMessage="1" sqref="C50">
      <formula1>"1"</formula1>
    </dataValidation>
  </dataValidations>
  <printOptions/>
  <pageMargins left="0.25" right="0.25" top="0.26" bottom="0.36" header="0.17" footer="0.17"/>
  <pageSetup fitToHeight="4" horizontalDpi="600" verticalDpi="600" orientation="landscape" scale="95" r:id="rId3"/>
  <headerFooter alignWithMargins="0">
    <oddFooter>&amp;LCisco Systems, Inc. Confidential&amp;C&amp;A&amp;R&amp;D   Page &amp;P of &amp;N</oddFooter>
  </headerFooter>
  <ignoredErrors>
    <ignoredError sqref="F156 F154:F155 F157 F162:F165 F130:F131 F176:F177 F171" unlockedFormula="1"/>
  </ignoredErrors>
  <legacyDrawing r:id="rId2"/>
</worksheet>
</file>

<file path=xl/worksheets/sheet3.xml><?xml version="1.0" encoding="utf-8"?>
<worksheet xmlns="http://schemas.openxmlformats.org/spreadsheetml/2006/main" xmlns:r="http://schemas.openxmlformats.org/officeDocument/2006/relationships">
  <dimension ref="A1:C125"/>
  <sheetViews>
    <sheetView showGridLines="0" zoomScale="130" zoomScaleNormal="130" workbookViewId="0" topLeftCell="A103">
      <selection activeCell="A119" sqref="A119:IV119"/>
    </sheetView>
  </sheetViews>
  <sheetFormatPr defaultColWidth="9.140625" defaultRowHeight="12.75"/>
  <cols>
    <col min="1" max="1" width="1.57421875" style="33" bestFit="1" customWidth="1"/>
    <col min="2" max="2" width="56.57421875" style="69" customWidth="1"/>
    <col min="3" max="3" width="17.7109375" style="78" customWidth="1"/>
    <col min="4" max="16384" width="9.140625" style="69" customWidth="1"/>
  </cols>
  <sheetData>
    <row r="1" spans="1:3" ht="20.25">
      <c r="A1" s="69"/>
      <c r="B1" s="91" t="s">
        <v>552</v>
      </c>
      <c r="C1" s="68"/>
    </row>
    <row r="2" spans="2:3" s="70" customFormat="1" ht="12.75">
      <c r="B2" s="37"/>
      <c r="C2" s="71"/>
    </row>
    <row r="3" spans="2:3" s="73" customFormat="1" ht="15">
      <c r="B3" s="72" t="s">
        <v>553</v>
      </c>
      <c r="C3" s="74"/>
    </row>
    <row r="4" spans="1:3" s="70" customFormat="1" ht="15">
      <c r="A4" s="37"/>
      <c r="B4" s="75" t="str">
        <f>CONCATENATE("      Primary DNS server:  ",'NIDS Data Entry + Netwk tables'!C14," (",'NIDS Data Entry + Netwk tables'!C15,")")</f>
        <v>      Primary DNS server:  ns1 (10.89.123.1)</v>
      </c>
      <c r="C4" s="76"/>
    </row>
    <row r="5" spans="1:3" s="70" customFormat="1" ht="15">
      <c r="A5" s="37"/>
      <c r="B5" s="75" t="str">
        <f>CONCATENATE("      Secondary DNS server:  ",'NIDS Data Entry + Netwk tables'!C16," (",'NIDS Data Entry + Netwk tables'!C17,")")</f>
        <v>      Secondary DNS server:  ns2 (10.89.124.1)</v>
      </c>
      <c r="C5" s="76"/>
    </row>
    <row r="6" spans="1:3" s="70" customFormat="1" ht="6" customHeight="1">
      <c r="A6" s="77"/>
      <c r="C6" s="71"/>
    </row>
    <row r="7" spans="2:3" ht="12.75">
      <c r="B7" s="14" t="s">
        <v>445</v>
      </c>
      <c r="C7" s="67" t="s">
        <v>450</v>
      </c>
    </row>
    <row r="8" spans="2:3" ht="12.75">
      <c r="B8" s="200" t="str">
        <f>CONCATENATE('NIDS Data Entry + Netwk tables'!C32,".",'NIDS Data Entry + Netwk tables'!C30)</f>
        <v>priems.name.cisco.com</v>
      </c>
      <c r="C8" s="79" t="str">
        <f>CONCATENATE('NIDS Data Entry + Netwk tables'!$F$65,'NIDS Data Entry + Netwk tables'!$G$65)</f>
        <v>10.89.223.10</v>
      </c>
    </row>
    <row r="9" spans="2:3" ht="12.75">
      <c r="B9" s="198"/>
      <c r="C9" s="79" t="str">
        <f>CONCATENATE('NIDS Data Entry + Netwk tables'!$F$74,'NIDS Data Entry + Netwk tables'!$G$74)</f>
        <v>10.89.224.10</v>
      </c>
    </row>
    <row r="10" spans="2:3" ht="12.75">
      <c r="B10" s="200" t="str">
        <f>CONCATENATE('NIDS Data Entry + Netwk tables'!C34,".",'NIDS Data Entry + Netwk tables'!C30)</f>
        <v>secems.name.cisco.com</v>
      </c>
      <c r="C10" s="79" t="str">
        <f>CONCATENATE('NIDS Data Entry + Netwk tables'!$F$66,'NIDS Data Entry + Netwk tables'!$G$66)</f>
        <v>10.89.223.11</v>
      </c>
    </row>
    <row r="11" spans="2:3" ht="12.75">
      <c r="B11" s="198"/>
      <c r="C11" s="79" t="str">
        <f>CONCATENATE('NIDS Data Entry + Netwk tables'!$F$75,'NIDS Data Entry + Netwk tables'!$G$75)</f>
        <v>10.89.224.11</v>
      </c>
    </row>
    <row r="12" spans="2:3" ht="12.75">
      <c r="B12" s="200" t="str">
        <f>CONCATENATE('NIDS Data Entry + Netwk tables'!C31,".",'NIDS Data Entry + Netwk tables'!C30)</f>
        <v>prica.name.cisco.com</v>
      </c>
      <c r="C12" s="79" t="str">
        <f>CONCATENATE('NIDS Data Entry + Netwk tables'!$F$67,'NIDS Data Entry + Netwk tables'!$G$67)</f>
        <v>10.89.223.12</v>
      </c>
    </row>
    <row r="13" spans="2:3" ht="12.75">
      <c r="B13" s="198"/>
      <c r="C13" s="79" t="str">
        <f>CONCATENATE('NIDS Data Entry + Netwk tables'!$F$76,'NIDS Data Entry + Netwk tables'!$G$76)</f>
        <v>10.89.224.12</v>
      </c>
    </row>
    <row r="14" spans="2:3" ht="12.75">
      <c r="B14" s="200" t="str">
        <f>CONCATENATE('NIDS Data Entry + Netwk tables'!C33,".",'NIDS Data Entry + Netwk tables'!C30)</f>
        <v>secca.name.cisco.com</v>
      </c>
      <c r="C14" s="79" t="str">
        <f>CONCATENATE('NIDS Data Entry + Netwk tables'!$F$68,'NIDS Data Entry + Netwk tables'!$G$68)</f>
        <v>10.89.223.13</v>
      </c>
    </row>
    <row r="15" spans="2:3" ht="12.75">
      <c r="B15" s="198"/>
      <c r="C15" s="79" t="str">
        <f>CONCATENATE('NIDS Data Entry + Netwk tables'!$F$77,'NIDS Data Entry + Netwk tables'!$G$77)</f>
        <v>10.89.224.13</v>
      </c>
    </row>
    <row r="16" spans="1:3" ht="12.75">
      <c r="A16" s="37"/>
      <c r="B16" s="200" t="str">
        <f>'NIDS Opticall table'!$C$15</f>
        <v>broker-MAIN-ST.name.cisco.com</v>
      </c>
      <c r="C16" s="79" t="str">
        <f>'NIDS Data Entry + Netwk tables'!$H$86</f>
        <v>10.89.225.254</v>
      </c>
    </row>
    <row r="17" spans="1:3" ht="12.75">
      <c r="A17" s="37"/>
      <c r="B17" s="198"/>
      <c r="C17" s="79" t="str">
        <f>'NIDS Data Entry + Netwk tables'!$H$93</f>
        <v>10.89.226.254</v>
      </c>
    </row>
    <row r="18" spans="1:3" ht="12.75">
      <c r="A18" s="37"/>
      <c r="B18" s="200" t="str">
        <f>'NIDS Opticall table'!$C$14</f>
        <v>brokerems-MAIN-ST.name.cisco.com</v>
      </c>
      <c r="C18" s="79" t="str">
        <f>'NIDS Data Entry + Netwk tables'!$H$65</f>
        <v>10.89.223.254</v>
      </c>
    </row>
    <row r="19" spans="1:3" ht="12.75">
      <c r="A19" s="37"/>
      <c r="B19" s="198"/>
      <c r="C19" s="79" t="str">
        <f>'NIDS Data Entry + Netwk tables'!$H$74</f>
        <v>10.89.224.254</v>
      </c>
    </row>
    <row r="20" spans="2:3" ht="12.75">
      <c r="B20" s="197" t="str">
        <f>'NIDS Opticall table'!$C$31</f>
        <v>red-aMAIN-STCA.name.cisco.com</v>
      </c>
      <c r="C20" s="79" t="str">
        <f>'NIDS Data Entry + Netwk tables'!$F$142</f>
        <v>10.10.120.12</v>
      </c>
    </row>
    <row r="21" spans="2:3" ht="12.75">
      <c r="B21" s="198"/>
      <c r="C21" s="79" t="str">
        <f>'NIDS Data Entry + Netwk tables'!$F$148</f>
        <v>10.10.121.12</v>
      </c>
    </row>
    <row r="22" spans="2:3" ht="12.75">
      <c r="B22" s="197" t="str">
        <f>'NIDS Opticall table'!$C$32</f>
        <v>red-bMAIN-STCA.name.cisco.com</v>
      </c>
      <c r="C22" s="79" t="str">
        <f>'NIDS Data Entry + Netwk tables'!$F$143</f>
        <v>10.10.120.13</v>
      </c>
    </row>
    <row r="23" spans="2:3" ht="12.75">
      <c r="B23" s="198"/>
      <c r="C23" s="79" t="str">
        <f>'NIDS Data Entry + Netwk tables'!$F$149</f>
        <v>10.10.121.13</v>
      </c>
    </row>
    <row r="24" spans="2:3" ht="12.75">
      <c r="B24" s="197" t="str">
        <f>'NIDS Opticall table'!$C$33</f>
        <v>red-aMAIN-STAIN.name.cisco.com</v>
      </c>
      <c r="C24" s="79" t="str">
        <f>'NIDS Data Entry + Netwk tables'!$F$142</f>
        <v>10.10.120.12</v>
      </c>
    </row>
    <row r="25" spans="2:3" ht="12.75">
      <c r="B25" s="198"/>
      <c r="C25" s="79" t="str">
        <f>'NIDS Data Entry + Netwk tables'!$F$148</f>
        <v>10.10.121.12</v>
      </c>
    </row>
    <row r="26" spans="2:3" ht="12.75">
      <c r="B26" s="197" t="str">
        <f>'NIDS Opticall table'!$C$34</f>
        <v>red-bMAIN-STAIN.name.cisco.com</v>
      </c>
      <c r="C26" s="79" t="str">
        <f>'NIDS Data Entry + Netwk tables'!$F$143</f>
        <v>10.10.120.13</v>
      </c>
    </row>
    <row r="27" spans="2:3" ht="12.75">
      <c r="B27" s="198"/>
      <c r="C27" s="79" t="str">
        <f>'NIDS Data Entry + Netwk tables'!$F$149</f>
        <v>10.10.121.13</v>
      </c>
    </row>
    <row r="28" spans="2:3" ht="12.75">
      <c r="B28" s="197" t="str">
        <f>'NIDS Opticall table'!$C$35</f>
        <v>red-aMAIN-STPTC.name.cisco.com</v>
      </c>
      <c r="C28" s="79" t="str">
        <f>'NIDS Data Entry + Netwk tables'!$F$142</f>
        <v>10.10.120.12</v>
      </c>
    </row>
    <row r="29" spans="2:3" ht="12.75">
      <c r="B29" s="198"/>
      <c r="C29" s="79" t="str">
        <f>'NIDS Data Entry + Netwk tables'!$F$148</f>
        <v>10.10.121.12</v>
      </c>
    </row>
    <row r="30" spans="2:3" ht="12.75">
      <c r="B30" s="197" t="str">
        <f>'NIDS Opticall table'!$C$36</f>
        <v>red-bMAIN-STPTC.name.cisco.com</v>
      </c>
      <c r="C30" s="79" t="str">
        <f>'NIDS Data Entry + Netwk tables'!$F$143</f>
        <v>10.10.120.13</v>
      </c>
    </row>
    <row r="31" spans="2:3" ht="12.75">
      <c r="B31" s="198"/>
      <c r="C31" s="79" t="str">
        <f>'NIDS Data Entry + Netwk tables'!$F$149</f>
        <v>10.10.121.13</v>
      </c>
    </row>
    <row r="32" spans="2:3" ht="12.75">
      <c r="B32" s="197" t="str">
        <f>'NIDS Opticall table'!$C$37</f>
        <v>red-aMAIN-STEMS.name.cisco.com</v>
      </c>
      <c r="C32" s="79" t="str">
        <f>'NIDS Data Entry + Netwk tables'!$F$154</f>
        <v>10.10.122.10</v>
      </c>
    </row>
    <row r="33" spans="2:3" ht="12.75">
      <c r="B33" s="198"/>
      <c r="C33" s="79" t="str">
        <f>'NIDS Data Entry + Netwk tables'!$F$162</f>
        <v>10.10.123.10</v>
      </c>
    </row>
    <row r="34" spans="2:3" ht="12.75">
      <c r="B34" s="197" t="str">
        <f>'NIDS Opticall table'!$C$38</f>
        <v>red-bMAIN-STEMS.name.cisco.com</v>
      </c>
      <c r="C34" s="79" t="str">
        <f>'NIDS Data Entry + Netwk tables'!$F$155</f>
        <v>10.10.122.11</v>
      </c>
    </row>
    <row r="35" spans="2:3" ht="12.75">
      <c r="B35" s="198"/>
      <c r="C35" s="79" t="str">
        <f>'NIDS Data Entry + Netwk tables'!$F$163</f>
        <v>10.10.123.11</v>
      </c>
    </row>
    <row r="36" spans="2:3" ht="12.75">
      <c r="B36" s="197" t="str">
        <f>'NIDS Opticall table'!$C$39</f>
        <v>blg-aMAIN-STEMS.name.cisco.com</v>
      </c>
      <c r="C36" s="79" t="str">
        <f>'NIDS Data Entry + Netwk tables'!$F$154</f>
        <v>10.10.122.10</v>
      </c>
    </row>
    <row r="37" spans="2:3" ht="12.75">
      <c r="B37" s="198"/>
      <c r="C37" s="79" t="str">
        <f>'NIDS Data Entry + Netwk tables'!$F$162</f>
        <v>10.10.123.10</v>
      </c>
    </row>
    <row r="38" spans="2:3" ht="12.75">
      <c r="B38" s="197" t="str">
        <f>'NIDS Opticall table'!$C$40</f>
        <v>blg-bMAIN-STEMS.name.cisco.com</v>
      </c>
      <c r="C38" s="79" t="str">
        <f>'NIDS Data Entry + Netwk tables'!$F$155</f>
        <v>10.10.122.11</v>
      </c>
    </row>
    <row r="39" spans="2:3" ht="12.75">
      <c r="B39" s="198"/>
      <c r="C39" s="79" t="str">
        <f>'NIDS Data Entry + Netwk tables'!$F$163</f>
        <v>10.10.123.11</v>
      </c>
    </row>
    <row r="40" spans="2:3" ht="12.75">
      <c r="B40" s="197" t="str">
        <f>'NIDS Opticall table'!$C$41</f>
        <v>blg-aMAIN-STCA.name.cisco.com</v>
      </c>
      <c r="C40" s="79" t="str">
        <f>'NIDS Data Entry + Netwk tables'!$F$156</f>
        <v>10.10.122.12</v>
      </c>
    </row>
    <row r="41" spans="2:3" ht="12.75">
      <c r="B41" s="198"/>
      <c r="C41" s="79" t="str">
        <f>'NIDS Data Entry + Netwk tables'!$F$164</f>
        <v>10.10.123.12</v>
      </c>
    </row>
    <row r="42" spans="2:3" ht="12.75">
      <c r="B42" s="197" t="str">
        <f>'NIDS Opticall table'!$C$42</f>
        <v>blg-bMAIN-STCA.name.cisco.com</v>
      </c>
      <c r="C42" s="79" t="str">
        <f>'NIDS Data Entry + Netwk tables'!$F$157</f>
        <v>10.10.122.13</v>
      </c>
    </row>
    <row r="43" spans="2:3" ht="12.75">
      <c r="B43" s="198"/>
      <c r="C43" s="79" t="str">
        <f>'NIDS Data Entry + Netwk tables'!$F$165</f>
        <v>10.10.123.13</v>
      </c>
    </row>
    <row r="44" spans="2:3" ht="12.75">
      <c r="B44" s="197" t="str">
        <f>'NIDS Opticall table'!$C$43</f>
        <v>sia-MAIN-STCA.name.cisco.com</v>
      </c>
      <c r="C44" s="79" t="str">
        <f>CONCATENATE('NIDS Data Entry + Netwk tables'!$F$86,'NIDS Data Entry + Netwk tables'!$G$86)</f>
        <v>10.89.225.12</v>
      </c>
    </row>
    <row r="45" spans="2:3" ht="12.75">
      <c r="B45" s="199"/>
      <c r="C45" s="79" t="str">
        <f>CONCATENATE('NIDS Data Entry + Netwk tables'!$F$93,'NIDS Data Entry + Netwk tables'!$G$93)</f>
        <v>10.89.226.12</v>
      </c>
    </row>
    <row r="46" spans="2:3" ht="12.75">
      <c r="B46" s="199"/>
      <c r="C46" s="79" t="str">
        <f>CONCATENATE('NIDS Data Entry + Netwk tables'!$F$87,'NIDS Data Entry + Netwk tables'!$G$87)</f>
        <v>10.89.225.13</v>
      </c>
    </row>
    <row r="47" spans="2:3" ht="12.75">
      <c r="B47" s="198"/>
      <c r="C47" s="79" t="str">
        <f>CONCATENATE('NIDS Data Entry + Netwk tables'!$F$94,'NIDS Data Entry + Netwk tables'!$G$94)</f>
        <v>10.89.226.13</v>
      </c>
    </row>
    <row r="48" spans="2:3" ht="12.75">
      <c r="B48" s="197" t="str">
        <f>'NIDS Opticall table'!$C$44</f>
        <v>mgcp-MAIN-STCA146.name.cisco.com</v>
      </c>
      <c r="C48" s="79" t="str">
        <f>CONCATENATE('NIDS Data Entry + Netwk tables'!$C$100,'NIDS Data Entry + Netwk tables'!$D$100)</f>
        <v>10.89.225.14</v>
      </c>
    </row>
    <row r="49" spans="2:3" ht="12.75">
      <c r="B49" s="198"/>
      <c r="C49" s="79" t="str">
        <f>CONCATENATE('NIDS Data Entry + Netwk tables'!$C$101,'NIDS Data Entry + Netwk tables'!$D$101)</f>
        <v>10.89.226.14</v>
      </c>
    </row>
    <row r="50" spans="2:3" ht="12.75">
      <c r="B50" s="197" t="str">
        <f>'NIDS Opticall table'!$C$45</f>
        <v>crit-aMAIN-STCA.name.cisco.com</v>
      </c>
      <c r="C50" s="79" t="str">
        <f>CONCATENATE('NIDS Data Entry + Netwk tables'!$F$86,'NIDS Data Entry + Netwk tables'!$G$86)</f>
        <v>10.89.225.12</v>
      </c>
    </row>
    <row r="51" spans="2:3" ht="12.75">
      <c r="B51" s="198"/>
      <c r="C51" s="79" t="str">
        <f>CONCATENATE('NIDS Data Entry + Netwk tables'!$F$93,'NIDS Data Entry + Netwk tables'!$G$93)</f>
        <v>10.89.226.12</v>
      </c>
    </row>
    <row r="52" spans="2:3" ht="12.75">
      <c r="B52" s="197" t="str">
        <f>'NIDS Opticall table'!$C$46</f>
        <v>crit-bMAIN-STCA.name.cisco.com</v>
      </c>
      <c r="C52" s="79" t="str">
        <f>CONCATENATE('NIDS Data Entry + Netwk tables'!$F$87,'NIDS Data Entry + Netwk tables'!$G$87)</f>
        <v>10.89.225.13</v>
      </c>
    </row>
    <row r="53" spans="2:3" ht="12.75">
      <c r="B53" s="198"/>
      <c r="C53" s="79" t="str">
        <f>CONCATENATE('NIDS Data Entry + Netwk tables'!$F$94,'NIDS Data Entry + Netwk tables'!$G$94)</f>
        <v>10.89.226.13</v>
      </c>
    </row>
    <row r="54" spans="2:3" ht="12.75">
      <c r="B54" s="197" t="str">
        <f>'NIDS Opticall table'!$C$47</f>
        <v>sia-MAIN-STCA.name.cisco.com</v>
      </c>
      <c r="C54" s="79" t="str">
        <f>CONCATENATE('NIDS Data Entry + Netwk tables'!$F$86,'NIDS Data Entry + Netwk tables'!$G$86)</f>
        <v>10.89.225.12</v>
      </c>
    </row>
    <row r="55" spans="2:3" ht="12.75">
      <c r="B55" s="199"/>
      <c r="C55" s="79" t="str">
        <f>CONCATENATE('NIDS Data Entry + Netwk tables'!$F$93,'NIDS Data Entry + Netwk tables'!$G$93)</f>
        <v>10.89.226.12</v>
      </c>
    </row>
    <row r="56" spans="2:3" ht="12.75">
      <c r="B56" s="199"/>
      <c r="C56" s="79" t="str">
        <f>CONCATENATE('NIDS Data Entry + Netwk tables'!$F$87,'NIDS Data Entry + Netwk tables'!$G$87)</f>
        <v>10.89.225.13</v>
      </c>
    </row>
    <row r="57" spans="2:3" ht="12.75">
      <c r="B57" s="198"/>
      <c r="C57" s="79" t="str">
        <f>CONCATENATE('NIDS Data Entry + Netwk tables'!$F$94,'NIDS Data Entry + Netwk tables'!$G$94)</f>
        <v>10.89.226.13</v>
      </c>
    </row>
    <row r="58" spans="2:3" ht="12.75">
      <c r="B58" s="197" t="str">
        <f>'NIDS Opticall table'!$C$48</f>
        <v>sia-MAIN-STCA146.name.cisco.com</v>
      </c>
      <c r="C58" s="79" t="str">
        <f>CONCATENATE('NIDS Data Entry + Netwk tables'!$C$114,'NIDS Data Entry + Netwk tables'!$D$114)</f>
        <v>10.89.225.16</v>
      </c>
    </row>
    <row r="59" spans="2:3" ht="12.75">
      <c r="B59" s="198"/>
      <c r="C59" s="79" t="str">
        <f>CONCATENATE('NIDS Data Entry + Netwk tables'!$C$115,'NIDS Data Entry + Netwk tables'!$D$115)</f>
        <v>10.89.226.16</v>
      </c>
    </row>
    <row r="60" spans="2:3" ht="12.75">
      <c r="B60" s="197" t="str">
        <f>IF('NIDS Data Entry + Netwk tables'!$C$44="y",'NIDS Opticall table'!$C$49,"")</f>
        <v>h3a-MAIN-STCA146.name.cisco.com</v>
      </c>
      <c r="C60" s="79" t="str">
        <f>IF('NIDS Data Entry + Netwk tables'!$C$44="y",CONCATENATE('NIDS Data Entry + Netwk tables'!$C$121,'NIDS Data Entry + Netwk tables'!$D$121),"")</f>
        <v>10.89.225.17</v>
      </c>
    </row>
    <row r="61" spans="2:3" ht="12.75">
      <c r="B61" s="198"/>
      <c r="C61" s="79" t="str">
        <f>IF('NIDS Data Entry + Netwk tables'!$C$44="y",CONCATENATE('NIDS Data Entry + Netwk tables'!$C$122,'NIDS Data Entry + Netwk tables'!$D$122),"")</f>
        <v>10.89.226.17</v>
      </c>
    </row>
    <row r="62" spans="2:3" ht="12.75">
      <c r="B62" s="197" t="str">
        <f>'NIDS Opticall table'!$C$50</f>
        <v>sim-MAIN-STCA146.name.cisco.com</v>
      </c>
      <c r="C62" s="79" t="str">
        <f>CONCATENATE('NIDS Data Entry + Netwk tables'!$C$35,".124.",'NIDS Data Entry + Netwk tables'!$D$236,"")</f>
        <v>10.10.124.146</v>
      </c>
    </row>
    <row r="63" spans="2:3" ht="12.75">
      <c r="B63" s="199"/>
      <c r="C63" s="79" t="str">
        <f>CONCATENATE('NIDS Data Entry + Netwk tables'!$C$35,".125.",'NIDS Data Entry + Netwk tables'!$D$236,"")</f>
        <v>10.10.125.146</v>
      </c>
    </row>
    <row r="64" spans="2:3" ht="12.75">
      <c r="B64" s="197" t="str">
        <f>'NIDS Opticall table'!$C$51</f>
        <v>anm-aMAIN-STCA.name.cisco.com</v>
      </c>
      <c r="C64" s="79" t="str">
        <f>CONCATENATE('NIDS Data Entry + Netwk tables'!$F$86,'NIDS Data Entry + Netwk tables'!$G$86)</f>
        <v>10.89.225.12</v>
      </c>
    </row>
    <row r="65" spans="2:3" ht="12.75">
      <c r="B65" s="198"/>
      <c r="C65" s="79" t="str">
        <f>CONCATENATE('NIDS Data Entry + Netwk tables'!$F$93,'NIDS Data Entry + Netwk tables'!$G$93)</f>
        <v>10.89.226.12</v>
      </c>
    </row>
    <row r="66" spans="2:3" ht="12.75">
      <c r="B66" s="197" t="str">
        <f>'NIDS Opticall table'!$C$52</f>
        <v>anm-bMAIN-STCA.name.cisco.com</v>
      </c>
      <c r="C66" s="79" t="str">
        <f>CONCATENATE('NIDS Data Entry + Netwk tables'!$F$87,'NIDS Data Entry + Netwk tables'!$G$87)</f>
        <v>10.89.225.13</v>
      </c>
    </row>
    <row r="67" spans="2:3" ht="12.75">
      <c r="B67" s="198"/>
      <c r="C67" s="79" t="str">
        <f>CONCATENATE('NIDS Data Entry + Netwk tables'!$F$94,'NIDS Data Entry + Netwk tables'!$G$94)</f>
        <v>10.89.226.13</v>
      </c>
    </row>
    <row r="68" spans="2:3" ht="12.75">
      <c r="B68" s="197" t="str">
        <f>'NIDS Opticall table'!$C$53</f>
        <v>sga-aMAIN-STCA.name.cisco.com</v>
      </c>
      <c r="C68" s="79" t="str">
        <f>CONCATENATE('NIDS Data Entry + Netwk tables'!$F$86,'NIDS Data Entry + Netwk tables'!$G$86)</f>
        <v>10.89.225.12</v>
      </c>
    </row>
    <row r="69" spans="2:3" ht="12.75">
      <c r="B69" s="198"/>
      <c r="C69" s="79" t="str">
        <f>CONCATENATE('NIDS Data Entry + Netwk tables'!$F$93,'NIDS Data Entry + Netwk tables'!$G$93)</f>
        <v>10.89.226.12</v>
      </c>
    </row>
    <row r="70" spans="2:3" ht="12.75">
      <c r="B70" s="197" t="str">
        <f>'NIDS Opticall table'!$C$54</f>
        <v>sga-bMAIN-STCA.name.cisco.com</v>
      </c>
      <c r="C70" s="79" t="str">
        <f>CONCATENATE('NIDS Data Entry + Netwk tables'!$F$87,'NIDS Data Entry + Netwk tables'!$G$87)</f>
        <v>10.89.225.13</v>
      </c>
    </row>
    <row r="71" spans="2:3" ht="12.75">
      <c r="B71" s="198"/>
      <c r="C71" s="79" t="str">
        <f>CONCATENATE('NIDS Data Entry + Netwk tables'!$F$94,'NIDS Data Entry + Netwk tables'!$G$94)</f>
        <v>10.89.226.13</v>
      </c>
    </row>
    <row r="72" spans="2:3" ht="12.75">
      <c r="B72" s="80" t="str">
        <f>'NIDS Opticall table'!$C$55</f>
        <v>bsm-a1MAIN-STCA.name.cisco.com</v>
      </c>
      <c r="C72" s="79" t="str">
        <f>CONCATENATE('NIDS Data Entry + Netwk tables'!$F$86,'NIDS Data Entry + Netwk tables'!$G$86)</f>
        <v>10.89.225.12</v>
      </c>
    </row>
    <row r="73" spans="2:3" ht="12.75">
      <c r="B73" s="80" t="str">
        <f>'NIDS Opticall table'!$C$56</f>
        <v>bsm-a2MAIN-STCA.name.cisco.com</v>
      </c>
      <c r="C73" s="79" t="str">
        <f>CONCATENATE('NIDS Data Entry + Netwk tables'!$F$93,'NIDS Data Entry + Netwk tables'!$G$93)</f>
        <v>10.89.226.12</v>
      </c>
    </row>
    <row r="74" spans="2:3" ht="12.75">
      <c r="B74" s="80" t="str">
        <f>'NIDS Opticall table'!$C$57</f>
        <v>bsm-b1MAIN-STCA.name.cisco.com</v>
      </c>
      <c r="C74" s="79" t="str">
        <f>CONCATENATE('NIDS Data Entry + Netwk tables'!$F$87,'NIDS Data Entry + Netwk tables'!$G$87)</f>
        <v>10.89.225.13</v>
      </c>
    </row>
    <row r="75" spans="2:3" ht="12.75">
      <c r="B75" s="80" t="str">
        <f>'NIDS Opticall table'!$C$58</f>
        <v>bsm-b2MAIN-STCA.name.cisco.com</v>
      </c>
      <c r="C75" s="79" t="str">
        <f>CONCATENATE('NIDS Data Entry + Netwk tables'!$F$94,'NIDS Data Entry + Netwk tables'!$G$94)</f>
        <v>10.89.226.13</v>
      </c>
    </row>
    <row r="76" spans="2:3" ht="12.75">
      <c r="B76" s="197" t="str">
        <f>'NIDS Opticall table'!$C$59</f>
        <v>asm-MAIN-STAIN205.name.cisco.com</v>
      </c>
      <c r="C76" s="79" t="str">
        <f>CONCATENATE('NIDS Data Entry + Netwk tables'!$C$35,".124.",'NIDS Data Entry + Netwk tables'!$D$237,"")</f>
        <v>10.10.124.205</v>
      </c>
    </row>
    <row r="77" spans="2:3" ht="12.75">
      <c r="B77" s="199"/>
      <c r="C77" s="79" t="str">
        <f>CONCATENATE('NIDS Data Entry + Netwk tables'!$C$35,".125.",'NIDS Data Entry + Netwk tables'!$D$237,"")</f>
        <v>10.10.125.205</v>
      </c>
    </row>
    <row r="78" spans="2:3" ht="12.75">
      <c r="B78" s="197" t="str">
        <f>'NIDS Opticall table'!$C$60</f>
        <v>crit-aMAIN-STAIN.name.cisco.com</v>
      </c>
      <c r="C78" s="79" t="str">
        <f>CONCATENATE('NIDS Data Entry + Netwk tables'!$F$86,'NIDS Data Entry + Netwk tables'!$G$86)</f>
        <v>10.89.225.12</v>
      </c>
    </row>
    <row r="79" spans="2:3" ht="12.75">
      <c r="B79" s="198"/>
      <c r="C79" s="79" t="str">
        <f>CONCATENATE('NIDS Data Entry + Netwk tables'!$F$93,'NIDS Data Entry + Netwk tables'!$G$93)</f>
        <v>10.89.226.12</v>
      </c>
    </row>
    <row r="80" spans="2:3" ht="12.75">
      <c r="B80" s="197" t="str">
        <f>'NIDS Opticall table'!$C$61</f>
        <v>crit-bMAIN-STAIN.name.cisco.com</v>
      </c>
      <c r="C80" s="79" t="str">
        <f>CONCATENATE('NIDS Data Entry + Netwk tables'!$F$87,'NIDS Data Entry + Netwk tables'!$G$87)</f>
        <v>10.89.225.13</v>
      </c>
    </row>
    <row r="81" spans="2:3" ht="12.75">
      <c r="B81" s="198"/>
      <c r="C81" s="79" t="str">
        <f>CONCATENATE('NIDS Data Entry + Netwk tables'!$F$94,'NIDS Data Entry + Netwk tables'!$G$94)</f>
        <v>10.89.226.13</v>
      </c>
    </row>
    <row r="82" spans="2:3" ht="12.75">
      <c r="B82" s="197" t="str">
        <f>'NIDS Opticall table'!$C$62</f>
        <v>sgw-aMAIN-STAIN.name.cisco.com</v>
      </c>
      <c r="C82" s="79" t="str">
        <f>CONCATENATE('NIDS Data Entry + Netwk tables'!$F$86,'NIDS Data Entry + Netwk tables'!$G$86)</f>
        <v>10.89.225.12</v>
      </c>
    </row>
    <row r="83" spans="2:3" ht="12.75">
      <c r="B83" s="198"/>
      <c r="C83" s="79" t="str">
        <f>CONCATENATE('NIDS Data Entry + Netwk tables'!$F$93,'NIDS Data Entry + Netwk tables'!$G$93)</f>
        <v>10.89.226.12</v>
      </c>
    </row>
    <row r="84" spans="2:3" ht="12.75">
      <c r="B84" s="197" t="str">
        <f>'NIDS Opticall table'!$C$63</f>
        <v>sgw-bMAIN-STAIN.name.cisco.com</v>
      </c>
      <c r="C84" s="79" t="str">
        <f>CONCATENATE('NIDS Data Entry + Netwk tables'!$F$87,'NIDS Data Entry + Netwk tables'!$G$87)</f>
        <v>10.89.225.13</v>
      </c>
    </row>
    <row r="85" spans="2:3" ht="12.75">
      <c r="B85" s="198"/>
      <c r="C85" s="79" t="str">
        <f>CONCATENATE('NIDS Data Entry + Netwk tables'!$F$94,'NIDS Data Entry + Netwk tables'!$G$94)</f>
        <v>10.89.226.13</v>
      </c>
    </row>
    <row r="86" spans="2:3" ht="12.75">
      <c r="B86" s="197" t="str">
        <f>'NIDS Opticall table'!$C$64</f>
        <v>pots-MAIN-STPTC235.name.cisco.com</v>
      </c>
      <c r="C86" s="79" t="str">
        <f>CONCATENATE('NIDS Data Entry + Netwk tables'!$C$35,".124.",'NIDS Data Entry + Netwk tables'!$D$238,"")</f>
        <v>10.10.124.235</v>
      </c>
    </row>
    <row r="87" spans="2:3" ht="12.75">
      <c r="B87" s="199"/>
      <c r="C87" s="79" t="str">
        <f>CONCATENATE('NIDS Data Entry + Netwk tables'!$C$35,".125.",'NIDS Data Entry + Netwk tables'!$D$238,"")</f>
        <v>10.10.125.235</v>
      </c>
    </row>
    <row r="88" spans="2:3" ht="12.75">
      <c r="B88" s="197" t="str">
        <f>'NIDS Opticall table'!$C$65</f>
        <v>crit-aMAIN-STPTC.name.cisco.com</v>
      </c>
      <c r="C88" s="79" t="str">
        <f>CONCATENATE('NIDS Data Entry + Netwk tables'!$F$86,'NIDS Data Entry + Netwk tables'!$G$86)</f>
        <v>10.89.225.12</v>
      </c>
    </row>
    <row r="89" spans="2:3" ht="12.75">
      <c r="B89" s="198"/>
      <c r="C89" s="79" t="str">
        <f>CONCATENATE('NIDS Data Entry + Netwk tables'!$F$93,'NIDS Data Entry + Netwk tables'!$G$93)</f>
        <v>10.89.226.12</v>
      </c>
    </row>
    <row r="90" spans="2:3" ht="12.75">
      <c r="B90" s="197" t="str">
        <f>'NIDS Opticall table'!$C$66</f>
        <v>crit-bMAIN-STPTC.name.cisco.com</v>
      </c>
      <c r="C90" s="79" t="str">
        <f>CONCATENATE('NIDS Data Entry + Netwk tables'!$F$87,'NIDS Data Entry + Netwk tables'!$G$87)</f>
        <v>10.89.225.13</v>
      </c>
    </row>
    <row r="91" spans="2:3" ht="12.75">
      <c r="B91" s="198"/>
      <c r="C91" s="79" t="str">
        <f>CONCATENATE('NIDS Data Entry + Netwk tables'!$F$94,'NIDS Data Entry + Netwk tables'!$G$94)</f>
        <v>10.89.226.13</v>
      </c>
    </row>
    <row r="92" spans="2:3" ht="12.75">
      <c r="B92" s="197" t="str">
        <f>'NIDS Opticall table'!$C$67</f>
        <v>sgw-aMAIN-STPTC.name.cisco.com</v>
      </c>
      <c r="C92" s="79" t="str">
        <f>CONCATENATE('NIDS Data Entry + Netwk tables'!$F$86,'NIDS Data Entry + Netwk tables'!$G$86)</f>
        <v>10.89.225.12</v>
      </c>
    </row>
    <row r="93" spans="2:3" ht="12.75">
      <c r="B93" s="198"/>
      <c r="C93" s="79" t="str">
        <f>CONCATENATE('NIDS Data Entry + Netwk tables'!$F$93,'NIDS Data Entry + Netwk tables'!$G$93)</f>
        <v>10.89.226.12</v>
      </c>
    </row>
    <row r="94" spans="2:3" ht="12.75">
      <c r="B94" s="197" t="str">
        <f>'NIDS Opticall table'!$C$68</f>
        <v>sgw-bMAIN-STPTC.name.cisco.com</v>
      </c>
      <c r="C94" s="79" t="str">
        <f>CONCATENATE('NIDS Data Entry + Netwk tables'!$F$87,'NIDS Data Entry + Netwk tables'!$G$87)</f>
        <v>10.89.225.13</v>
      </c>
    </row>
    <row r="95" spans="2:3" ht="12.75">
      <c r="B95" s="198"/>
      <c r="C95" s="79" t="str">
        <f>CONCATENATE('NIDS Data Entry + Netwk tables'!$F$94,'NIDS Data Entry + Netwk tables'!$G$94)</f>
        <v>10.89.226.13</v>
      </c>
    </row>
    <row r="96" spans="2:3" ht="12.75">
      <c r="B96" s="197" t="str">
        <f>'NIDS Opticall table'!$C$69</f>
        <v>gfs-MAIN-STPTC235.name.cisco.com</v>
      </c>
      <c r="C96" s="79" t="str">
        <f>CONCATENATE('NIDS Data Entry + Netwk tables'!$C$107,'NIDS Data Entry + Netwk tables'!$D$107)</f>
        <v>10.89.225.15</v>
      </c>
    </row>
    <row r="97" spans="2:3" ht="12.75">
      <c r="B97" s="198"/>
      <c r="C97" s="79" t="str">
        <f>CONCATENATE('NIDS Data Entry + Netwk tables'!$C$108,'NIDS Data Entry + Netwk tables'!$D$108)</f>
        <v>10.89.226.15</v>
      </c>
    </row>
    <row r="98" spans="2:3" ht="12.75">
      <c r="B98" s="197" t="str">
        <f>'NIDS Opticall table'!$C$70</f>
        <v>crit-aMAIN-STEMS.name.cisco.com</v>
      </c>
      <c r="C98" s="79" t="str">
        <f>CONCATENATE('NIDS Data Entry + Netwk tables'!$F$65,'NIDS Data Entry + Netwk tables'!$G$65)</f>
        <v>10.89.223.10</v>
      </c>
    </row>
    <row r="99" spans="2:3" ht="12.75">
      <c r="B99" s="198"/>
      <c r="C99" s="79" t="str">
        <f>CONCATENATE('NIDS Data Entry + Netwk tables'!$F$74,'NIDS Data Entry + Netwk tables'!$G$74)</f>
        <v>10.89.224.10</v>
      </c>
    </row>
    <row r="100" spans="2:3" ht="12.75">
      <c r="B100" s="197" t="str">
        <f>'NIDS Opticall table'!$C$71</f>
        <v>crit-bMAIN-STEMS.name.cisco.com</v>
      </c>
      <c r="C100" s="79" t="str">
        <f>CONCATENATE('NIDS Data Entry + Netwk tables'!$F$66,'NIDS Data Entry + Netwk tables'!$G$66)</f>
        <v>10.89.223.11</v>
      </c>
    </row>
    <row r="101" spans="2:3" ht="12.75">
      <c r="B101" s="198"/>
      <c r="C101" s="79" t="str">
        <f>CONCATENATE('NIDS Data Entry + Netwk tables'!$F$75,'NIDS Data Entry + Netwk tables'!$G$75)</f>
        <v>10.89.224.11</v>
      </c>
    </row>
    <row r="102" spans="2:3" ht="12.75">
      <c r="B102" s="197" t="str">
        <f>'NIDS Opticall table'!$C$72</f>
        <v>oms-aMAIN-STCA.name.cisco.com</v>
      </c>
      <c r="C102" s="79" t="str">
        <f>'NIDS Data Entry + Netwk tables'!$F$156</f>
        <v>10.10.122.12</v>
      </c>
    </row>
    <row r="103" spans="2:3" ht="12.75">
      <c r="B103" s="198"/>
      <c r="C103" s="79" t="str">
        <f>'NIDS Data Entry + Netwk tables'!$F$164</f>
        <v>10.10.123.12</v>
      </c>
    </row>
    <row r="104" spans="2:3" ht="12.75">
      <c r="B104" s="197" t="str">
        <f>'NIDS Opticall table'!$C$73</f>
        <v>oms-bMAIN-STCA.name.cisco.com</v>
      </c>
      <c r="C104" s="79" t="str">
        <f>'NIDS Data Entry + Netwk tables'!$F$157</f>
        <v>10.10.122.13</v>
      </c>
    </row>
    <row r="105" spans="2:3" ht="12.75">
      <c r="B105" s="198"/>
      <c r="C105" s="79" t="str">
        <f>'NIDS Data Entry + Netwk tables'!$F$165</f>
        <v>10.10.123.13</v>
      </c>
    </row>
    <row r="106" spans="2:3" ht="12.75">
      <c r="B106" s="197" t="str">
        <f>'NIDS Opticall table'!$C$74</f>
        <v>oms-aMAIN-STAIN.name.cisco.com</v>
      </c>
      <c r="C106" s="79" t="str">
        <f>'NIDS Data Entry + Netwk tables'!$F$156</f>
        <v>10.10.122.12</v>
      </c>
    </row>
    <row r="107" spans="2:3" ht="12.75">
      <c r="B107" s="198"/>
      <c r="C107" s="79" t="str">
        <f>'NIDS Data Entry + Netwk tables'!$F$164</f>
        <v>10.10.123.12</v>
      </c>
    </row>
    <row r="108" spans="2:3" ht="12.75">
      <c r="B108" s="197" t="str">
        <f>'NIDS Opticall table'!$C$75</f>
        <v>oms-bMAIN-STAIN.name.cisco.com</v>
      </c>
      <c r="C108" s="79" t="str">
        <f>'NIDS Data Entry + Netwk tables'!$F$157</f>
        <v>10.10.122.13</v>
      </c>
    </row>
    <row r="109" spans="2:3" ht="12.75">
      <c r="B109" s="198"/>
      <c r="C109" s="79" t="str">
        <f>'NIDS Data Entry + Netwk tables'!$F$165</f>
        <v>10.10.123.13</v>
      </c>
    </row>
    <row r="110" spans="2:3" ht="12.75">
      <c r="B110" s="197" t="str">
        <f>'NIDS Opticall table'!$C$76</f>
        <v>oms-aMAIN-STPTC.name.cisco.com</v>
      </c>
      <c r="C110" s="79" t="str">
        <f>'NIDS Data Entry + Netwk tables'!$F$156</f>
        <v>10.10.122.12</v>
      </c>
    </row>
    <row r="111" spans="2:3" ht="12.75">
      <c r="B111" s="198"/>
      <c r="C111" s="79" t="str">
        <f>'NIDS Data Entry + Netwk tables'!$F$164</f>
        <v>10.10.123.12</v>
      </c>
    </row>
    <row r="112" spans="2:3" ht="12.75">
      <c r="B112" s="197" t="str">
        <f>'NIDS Opticall table'!$C$77</f>
        <v>oms-bMAIN-STPTC.name.cisco.com</v>
      </c>
      <c r="C112" s="79" t="str">
        <f>'NIDS Data Entry + Netwk tables'!$F$157</f>
        <v>10.10.122.13</v>
      </c>
    </row>
    <row r="113" spans="2:3" ht="12.75">
      <c r="B113" s="198"/>
      <c r="C113" s="79" t="str">
        <f>'NIDS Data Entry + Netwk tables'!$F$165</f>
        <v>10.10.123.13</v>
      </c>
    </row>
    <row r="114" spans="2:3" ht="12.75">
      <c r="B114" s="197" t="str">
        <f>'NIDS Opticall table'!$C$78</f>
        <v>oms-aMAIN-STEMS.name.cisco.com</v>
      </c>
      <c r="C114" s="79" t="str">
        <f>'NIDS Data Entry + Netwk tables'!$F$130</f>
        <v>10.10.122.10</v>
      </c>
    </row>
    <row r="115" spans="2:3" ht="12.75">
      <c r="B115" s="198"/>
      <c r="C115" s="79" t="str">
        <f>'NIDS Data Entry + Netwk tables'!$F$136</f>
        <v>10.10.123.10</v>
      </c>
    </row>
    <row r="116" spans="2:3" ht="12.75">
      <c r="B116" s="197" t="str">
        <f>'NIDS Opticall table'!$C$79</f>
        <v>oms-bMAIN-STEMS.name.cisco.com</v>
      </c>
      <c r="C116" s="79" t="str">
        <f>'NIDS Data Entry + Netwk tables'!$F$131</f>
        <v>10.10.122.11</v>
      </c>
    </row>
    <row r="117" spans="2:3" ht="12.75">
      <c r="B117" s="198"/>
      <c r="C117" s="79" t="str">
        <f>'NIDS Data Entry + Netwk tables'!$F$137</f>
        <v>10.10.123.11</v>
      </c>
    </row>
    <row r="118" spans="2:3" ht="12.75">
      <c r="B118" s="197" t="str">
        <f>'NIDS Opticall table'!$C$104</f>
        <v>mdii-aMAIN-STEMS.name.cisco.com</v>
      </c>
      <c r="C118" s="79" t="str">
        <f>'NIDS Data Entry + Netwk tables'!$F$154</f>
        <v>10.10.122.10</v>
      </c>
    </row>
    <row r="119" spans="2:3" ht="12.75">
      <c r="B119" s="198"/>
      <c r="C119" s="79" t="str">
        <f>'NIDS Data Entry + Netwk tables'!$F$162</f>
        <v>10.10.123.10</v>
      </c>
    </row>
    <row r="120" spans="2:3" ht="12.75">
      <c r="B120" s="197" t="str">
        <f>'NIDS Opticall table'!$C$105</f>
        <v>mdii-bMAIN-STEMS.name.cisco.com</v>
      </c>
      <c r="C120" s="79" t="str">
        <f>'NIDS Data Entry + Netwk tables'!$F$155</f>
        <v>10.10.122.11</v>
      </c>
    </row>
    <row r="121" spans="2:3" ht="12.75">
      <c r="B121" s="198"/>
      <c r="C121" s="79" t="str">
        <f>'NIDS Data Entry + Netwk tables'!$F$163</f>
        <v>10.10.123.11</v>
      </c>
    </row>
    <row r="122" spans="2:3" ht="12.75">
      <c r="B122" s="197" t="str">
        <f>'NIDS Opticall table'!$C$106</f>
        <v>iua-aMAIN-STCA.name.cisco.com</v>
      </c>
      <c r="C122" s="79" t="str">
        <f>CONCATENATE('NIDS Data Entry + Netwk tables'!$F$86,'NIDS Data Entry + Netwk tables'!$G$86)</f>
        <v>10.89.225.12</v>
      </c>
    </row>
    <row r="123" spans="2:3" ht="12.75">
      <c r="B123" s="198"/>
      <c r="C123" s="79" t="str">
        <f>CONCATENATE('NIDS Data Entry + Netwk tables'!$F$93,'NIDS Data Entry + Netwk tables'!$G$93)</f>
        <v>10.89.226.12</v>
      </c>
    </row>
    <row r="124" spans="2:3" ht="12.75">
      <c r="B124" s="197" t="str">
        <f>'NIDS Opticall table'!$C$107</f>
        <v>iua-bMAIN-STCA.name.cisco.com</v>
      </c>
      <c r="C124" s="79" t="str">
        <f>CONCATENATE('NIDS Data Entry + Netwk tables'!$F$87,'NIDS Data Entry + Netwk tables'!$G$87)</f>
        <v>10.89.225.13</v>
      </c>
    </row>
    <row r="125" spans="2:3" ht="12.75">
      <c r="B125" s="198"/>
      <c r="C125" s="79" t="str">
        <f>CONCATENATE('NIDS Data Entry + Netwk tables'!$F$94,'NIDS Data Entry + Netwk tables'!$G$94)</f>
        <v>10.89.226.13</v>
      </c>
    </row>
  </sheetData>
  <sheetProtection/>
  <mergeCells count="55">
    <mergeCell ref="B120:B121"/>
    <mergeCell ref="B122:B123"/>
    <mergeCell ref="B124:B125"/>
    <mergeCell ref="B118:B119"/>
    <mergeCell ref="B8:B9"/>
    <mergeCell ref="B10:B11"/>
    <mergeCell ref="B12:B13"/>
    <mergeCell ref="B14:B15"/>
    <mergeCell ref="B100:B101"/>
    <mergeCell ref="B102:B103"/>
    <mergeCell ref="B104:B105"/>
    <mergeCell ref="B106:B107"/>
    <mergeCell ref="B92:B93"/>
    <mergeCell ref="B94:B95"/>
    <mergeCell ref="B96:B97"/>
    <mergeCell ref="B98:B99"/>
    <mergeCell ref="B82:B83"/>
    <mergeCell ref="B84:B85"/>
    <mergeCell ref="B88:B89"/>
    <mergeCell ref="B90:B91"/>
    <mergeCell ref="B68:B69"/>
    <mergeCell ref="B70:B71"/>
    <mergeCell ref="B78:B79"/>
    <mergeCell ref="B80:B81"/>
    <mergeCell ref="B52:B53"/>
    <mergeCell ref="B58:B59"/>
    <mergeCell ref="B64:B65"/>
    <mergeCell ref="B66:B67"/>
    <mergeCell ref="B60:B61"/>
    <mergeCell ref="B40:B41"/>
    <mergeCell ref="B42:B43"/>
    <mergeCell ref="B48:B49"/>
    <mergeCell ref="B50:B51"/>
    <mergeCell ref="B32:B33"/>
    <mergeCell ref="B34:B35"/>
    <mergeCell ref="B36:B37"/>
    <mergeCell ref="B38:B39"/>
    <mergeCell ref="B24:B25"/>
    <mergeCell ref="B26:B27"/>
    <mergeCell ref="B28:B29"/>
    <mergeCell ref="B30:B31"/>
    <mergeCell ref="B16:B17"/>
    <mergeCell ref="B18:B19"/>
    <mergeCell ref="B20:B21"/>
    <mergeCell ref="B22:B23"/>
    <mergeCell ref="B116:B117"/>
    <mergeCell ref="B44:B47"/>
    <mergeCell ref="B54:B57"/>
    <mergeCell ref="B62:B63"/>
    <mergeCell ref="B76:B77"/>
    <mergeCell ref="B86:B87"/>
    <mergeCell ref="B108:B109"/>
    <mergeCell ref="B110:B111"/>
    <mergeCell ref="B112:B113"/>
    <mergeCell ref="B114:B115"/>
  </mergeCells>
  <conditionalFormatting sqref="B126:B65536 B88 B90 B92 B94 B96 B98 B116 B100 B102 B104 B106 B108 B110 B112 B114 B82 B78 B80 B84 B86 B64 B68 B66 B72:B76 B70 B38 B50 B48 B42 B54 B44 B58 B16 B40 B52 B18 B20 B22 B24 B26 B28 B30 B32 B34 B36 B3:B6 B8 B10 B12 B14 B60:B62 B118 B120 B122 B124">
    <cfRule type="expression" priority="1" dxfId="0" stopIfTrue="1">
      <formula>B3&lt;&gt;#REF!</formula>
    </cfRule>
  </conditionalFormatting>
  <conditionalFormatting sqref="C1:C6 C8:C65536">
    <cfRule type="expression" priority="2" dxfId="0" stopIfTrue="1">
      <formula>C1&lt;&gt;#REF!</formula>
    </cfRule>
  </conditionalFormatting>
  <printOptions/>
  <pageMargins left="0.7" right="0.36" top="0.17" bottom="0.72" header="0.17" footer="0.17"/>
  <pageSetup horizontalDpi="600" verticalDpi="600" orientation="portrait" r:id="rId1"/>
  <headerFooter alignWithMargins="0">
    <oddFooter>&amp;LCisco Systems, Inc. Confidential&amp;C&amp;A&amp;R&amp;D   Page &amp;P of &amp;N</oddFooter>
  </headerFooter>
</worksheet>
</file>

<file path=xl/worksheets/sheet4.xml><?xml version="1.0" encoding="utf-8"?>
<worksheet xmlns="http://schemas.openxmlformats.org/spreadsheetml/2006/main" xmlns:r="http://schemas.openxmlformats.org/officeDocument/2006/relationships">
  <dimension ref="A1:C122"/>
  <sheetViews>
    <sheetView showGridLines="0" workbookViewId="0" topLeftCell="A90">
      <selection activeCell="A5" sqref="A5:IV5"/>
    </sheetView>
  </sheetViews>
  <sheetFormatPr defaultColWidth="9.140625" defaultRowHeight="12.75"/>
  <cols>
    <col min="1" max="1" width="1.57421875" style="33" bestFit="1" customWidth="1"/>
    <col min="2" max="2" width="54.57421875" style="81" customWidth="1"/>
    <col min="3" max="3" width="52.28125" style="82" customWidth="1"/>
    <col min="4" max="16384" width="9.140625" style="69" customWidth="1"/>
  </cols>
  <sheetData>
    <row r="1" spans="1:2" ht="20.25">
      <c r="A1" s="69"/>
      <c r="B1" s="91" t="s">
        <v>554</v>
      </c>
    </row>
    <row r="2" ht="12.75">
      <c r="B2" s="83"/>
    </row>
    <row r="3" spans="2:3" ht="12.75">
      <c r="B3" s="86" t="s">
        <v>469</v>
      </c>
      <c r="C3" s="86" t="s">
        <v>470</v>
      </c>
    </row>
    <row r="4" spans="1:3" ht="12.75">
      <c r="A4" s="37"/>
      <c r="B4" s="87" t="s">
        <v>393</v>
      </c>
      <c r="C4" s="88" t="str">
        <f>'NIDS Data Entry + Netwk tables'!C11</f>
        <v>MAIN-ST</v>
      </c>
    </row>
    <row r="5" spans="1:3" ht="12.75">
      <c r="A5" s="37"/>
      <c r="B5" s="87" t="s">
        <v>471</v>
      </c>
      <c r="C5" s="88" t="str">
        <f>'NIDS Data Entry + Netwk tables'!C43</f>
        <v>n</v>
      </c>
    </row>
    <row r="6" spans="1:3" ht="12.75">
      <c r="A6" s="37"/>
      <c r="B6" s="87" t="s">
        <v>472</v>
      </c>
      <c r="C6" s="88" t="str">
        <f>'NIDS Data Entry + Netwk tables'!C44</f>
        <v>y</v>
      </c>
    </row>
    <row r="7" spans="2:3" ht="12.75">
      <c r="B7" s="87" t="s">
        <v>629</v>
      </c>
      <c r="C7" s="88" t="str">
        <f>'NIDS Data Entry + Netwk tables'!C45</f>
        <v>n</v>
      </c>
    </row>
    <row r="8" spans="2:3" ht="12.75">
      <c r="B8" s="87" t="s">
        <v>634</v>
      </c>
      <c r="C8" s="88" t="str">
        <f>'NIDS Data Entry + Netwk tables'!C46</f>
        <v>CABLE</v>
      </c>
    </row>
    <row r="9" spans="2:3" ht="12.75">
      <c r="B9" s="87" t="s">
        <v>473</v>
      </c>
      <c r="C9" s="88" t="str">
        <f>'NIDS Data Entry + Netwk tables'!C47</f>
        <v>y</v>
      </c>
    </row>
    <row r="10" spans="2:3" ht="12.75">
      <c r="B10" s="87" t="s">
        <v>474</v>
      </c>
      <c r="C10" s="88" t="str">
        <f>'NIDS Data Entry + Netwk tables'!C48</f>
        <v>n</v>
      </c>
    </row>
    <row r="11" spans="2:3" ht="12.75">
      <c r="B11" s="87" t="s">
        <v>475</v>
      </c>
      <c r="C11" s="88" t="str">
        <f>'NIDS Data Entry + Netwk tables'!C49</f>
        <v>medium</v>
      </c>
    </row>
    <row r="12" spans="2:3" ht="12.75">
      <c r="B12" s="87" t="s">
        <v>476</v>
      </c>
      <c r="C12" s="88">
        <f>'NIDS Data Entry + Netwk tables'!C50</f>
        <v>1</v>
      </c>
    </row>
    <row r="13" spans="2:3" ht="12.75">
      <c r="B13" s="87" t="s">
        <v>477</v>
      </c>
      <c r="C13" s="88" t="str">
        <f>'NIDS Data Entry + Netwk tables'!C51</f>
        <v>SUA</v>
      </c>
    </row>
    <row r="14" spans="2:3" ht="12.75">
      <c r="B14" s="87" t="s">
        <v>480</v>
      </c>
      <c r="C14" s="88" t="str">
        <f>'NIDS Data Entry + Netwk tables'!$C$56</f>
        <v>brokerems-MAIN-ST.name.cisco.com</v>
      </c>
    </row>
    <row r="15" spans="2:3" ht="12.75">
      <c r="B15" s="87" t="s">
        <v>479</v>
      </c>
      <c r="C15" s="88" t="str">
        <f>'NIDS Data Entry + Netwk tables'!$C$55</f>
        <v>broker-MAIN-ST.name.cisco.com</v>
      </c>
    </row>
    <row r="16" spans="2:3" ht="12.75">
      <c r="B16" s="87" t="s">
        <v>494</v>
      </c>
      <c r="C16" s="88" t="str">
        <f>'NIDS Data Entry + Netwk tables'!C12</f>
        <v>10.89.225.2</v>
      </c>
    </row>
    <row r="17" spans="2:3" ht="12.75">
      <c r="B17" s="87" t="s">
        <v>560</v>
      </c>
      <c r="C17" s="90" t="str">
        <f>TRIM('NIDS Data Entry + Netwk tables'!C13)</f>
        <v>10.89.224.2</v>
      </c>
    </row>
    <row r="18" spans="2:3" ht="12.75">
      <c r="B18" s="87" t="s">
        <v>481</v>
      </c>
      <c r="C18" s="88" t="str">
        <f>'NIDS Data Entry + Netwk tables'!C31</f>
        <v>prica</v>
      </c>
    </row>
    <row r="19" spans="2:3" ht="12.75">
      <c r="B19" s="87" t="s">
        <v>487</v>
      </c>
      <c r="C19" s="88" t="str">
        <f>'NIDS Data Entry + Netwk tables'!C33</f>
        <v>secca</v>
      </c>
    </row>
    <row r="20" spans="2:3" ht="12.75">
      <c r="B20" s="87" t="s">
        <v>488</v>
      </c>
      <c r="C20" s="88" t="str">
        <f>'NIDS Data Entry + Netwk tables'!C31</f>
        <v>prica</v>
      </c>
    </row>
    <row r="21" spans="2:3" ht="12.75">
      <c r="B21" s="87" t="s">
        <v>489</v>
      </c>
      <c r="C21" s="88" t="str">
        <f>'NIDS Data Entry + Netwk tables'!C33</f>
        <v>secca</v>
      </c>
    </row>
    <row r="22" spans="2:3" ht="12.75">
      <c r="B22" s="87" t="s">
        <v>490</v>
      </c>
      <c r="C22" s="88" t="str">
        <f>'NIDS Data Entry + Netwk tables'!C31</f>
        <v>prica</v>
      </c>
    </row>
    <row r="23" spans="2:3" ht="12.75">
      <c r="B23" s="87" t="s">
        <v>491</v>
      </c>
      <c r="C23" s="88" t="str">
        <f>'NIDS Data Entry + Netwk tables'!C33</f>
        <v>secca</v>
      </c>
    </row>
    <row r="24" spans="2:3" ht="12.75">
      <c r="B24" s="87" t="s">
        <v>492</v>
      </c>
      <c r="C24" s="88" t="str">
        <f>'NIDS Data Entry + Netwk tables'!C32</f>
        <v>priems</v>
      </c>
    </row>
    <row r="25" spans="2:3" ht="12.75">
      <c r="B25" s="87" t="s">
        <v>493</v>
      </c>
      <c r="C25" s="88" t="str">
        <f>'NIDS Data Entry + Netwk tables'!C34</f>
        <v>secems</v>
      </c>
    </row>
    <row r="26" spans="2:3" ht="12.75">
      <c r="B26" s="87" t="s">
        <v>496</v>
      </c>
      <c r="C26" s="89" t="str">
        <f>CONCATENATE("""CA",'NIDS Data Entry + Netwk tables'!$C$52,"""")</f>
        <v>"CA146"</v>
      </c>
    </row>
    <row r="27" spans="2:3" ht="12.75">
      <c r="B27" s="87" t="s">
        <v>497</v>
      </c>
      <c r="C27" s="89" t="str">
        <f>CONCATENATE("""FSAIN",'NIDS Data Entry + Netwk tables'!$C$53,"""")</f>
        <v>"FSAIN205"</v>
      </c>
    </row>
    <row r="28" spans="2:3" ht="12.75">
      <c r="B28" s="87" t="s">
        <v>498</v>
      </c>
      <c r="C28" s="89" t="str">
        <f>CONCATENATE("""FSPTC",'NIDS Data Entry + Netwk tables'!$C$54,"""")</f>
        <v>"FSPTC235"</v>
      </c>
    </row>
    <row r="29" spans="2:3" ht="12.75">
      <c r="B29" s="87" t="s">
        <v>499</v>
      </c>
      <c r="C29" s="89" t="s">
        <v>205</v>
      </c>
    </row>
    <row r="30" spans="2:3" ht="12.75">
      <c r="B30" s="87" t="s">
        <v>500</v>
      </c>
      <c r="C30" s="89" t="s">
        <v>206</v>
      </c>
    </row>
    <row r="31" spans="2:3" ht="12.75">
      <c r="B31" s="87" t="s">
        <v>501</v>
      </c>
      <c r="C31" s="89" t="str">
        <f>CONCATENATE("red-a",'NIDS Data Entry + Netwk tables'!$C$11,"CA",".",'NIDS Data Entry + Netwk tables'!$C$30)</f>
        <v>red-aMAIN-STCA.name.cisco.com</v>
      </c>
    </row>
    <row r="32" spans="2:3" ht="12.75">
      <c r="B32" s="87" t="s">
        <v>502</v>
      </c>
      <c r="C32" s="89" t="str">
        <f>CONCATENATE("red-b",'NIDS Data Entry + Netwk tables'!$C$11,"CA",".",'NIDS Data Entry + Netwk tables'!$C$30)</f>
        <v>red-bMAIN-STCA.name.cisco.com</v>
      </c>
    </row>
    <row r="33" spans="2:3" ht="12.75">
      <c r="B33" s="87" t="s">
        <v>503</v>
      </c>
      <c r="C33" s="89" t="str">
        <f>CONCATENATE("red-a",'NIDS Data Entry + Netwk tables'!$C$11,"AIN",".",'NIDS Data Entry + Netwk tables'!$C$30)</f>
        <v>red-aMAIN-STAIN.name.cisco.com</v>
      </c>
    </row>
    <row r="34" spans="2:3" ht="12.75">
      <c r="B34" s="87" t="s">
        <v>504</v>
      </c>
      <c r="C34" s="89" t="str">
        <f>CONCATENATE("red-b",'NIDS Data Entry + Netwk tables'!$C$11,"AIN",".",'NIDS Data Entry + Netwk tables'!$C$30)</f>
        <v>red-bMAIN-STAIN.name.cisco.com</v>
      </c>
    </row>
    <row r="35" spans="2:3" ht="12.75">
      <c r="B35" s="87" t="s">
        <v>505</v>
      </c>
      <c r="C35" s="89" t="str">
        <f>CONCATENATE("red-a",'NIDS Data Entry + Netwk tables'!$C$11,"PTC",".",'NIDS Data Entry + Netwk tables'!$C$30)</f>
        <v>red-aMAIN-STPTC.name.cisco.com</v>
      </c>
    </row>
    <row r="36" spans="2:3" ht="12.75">
      <c r="B36" s="87" t="s">
        <v>506</v>
      </c>
      <c r="C36" s="89" t="str">
        <f>CONCATENATE("red-b",'NIDS Data Entry + Netwk tables'!$C$11,"PTC",".",'NIDS Data Entry + Netwk tables'!$C$30)</f>
        <v>red-bMAIN-STPTC.name.cisco.com</v>
      </c>
    </row>
    <row r="37" spans="2:3" ht="12.75">
      <c r="B37" s="87" t="s">
        <v>507</v>
      </c>
      <c r="C37" s="89" t="str">
        <f>CONCATENATE("red-a",'NIDS Data Entry + Netwk tables'!$C$11,"EMS",".",'NIDS Data Entry + Netwk tables'!$C$30)</f>
        <v>red-aMAIN-STEMS.name.cisco.com</v>
      </c>
    </row>
    <row r="38" spans="2:3" ht="12.75">
      <c r="B38" s="87" t="s">
        <v>508</v>
      </c>
      <c r="C38" s="89" t="str">
        <f>CONCATENATE("red-b",'NIDS Data Entry + Netwk tables'!$C$11,"EMS",".",'NIDS Data Entry + Netwk tables'!$C$30)</f>
        <v>red-bMAIN-STEMS.name.cisco.com</v>
      </c>
    </row>
    <row r="39" spans="2:3" ht="12.75">
      <c r="B39" s="87" t="s">
        <v>509</v>
      </c>
      <c r="C39" s="89" t="str">
        <f>CONCATENATE("blg-a",'NIDS Data Entry + Netwk tables'!$C$11,"EMS",".",'NIDS Data Entry + Netwk tables'!$C$30)</f>
        <v>blg-aMAIN-STEMS.name.cisco.com</v>
      </c>
    </row>
    <row r="40" spans="2:3" ht="12.75">
      <c r="B40" s="87" t="s">
        <v>510</v>
      </c>
      <c r="C40" s="89" t="str">
        <f>CONCATENATE("blg-b",'NIDS Data Entry + Netwk tables'!$C$11,"EMS",".",'NIDS Data Entry + Netwk tables'!$C$30)</f>
        <v>blg-bMAIN-STEMS.name.cisco.com</v>
      </c>
    </row>
    <row r="41" spans="2:3" ht="12.75">
      <c r="B41" s="87" t="s">
        <v>511</v>
      </c>
      <c r="C41" s="89" t="str">
        <f>CONCATENATE("blg-a",'NIDS Data Entry + Netwk tables'!$C$11,"CA",".",'NIDS Data Entry + Netwk tables'!$C$30)</f>
        <v>blg-aMAIN-STCA.name.cisco.com</v>
      </c>
    </row>
    <row r="42" spans="2:3" ht="12.75">
      <c r="B42" s="87" t="s">
        <v>512</v>
      </c>
      <c r="C42" s="89" t="str">
        <f>CONCATENATE("blg-b",'NIDS Data Entry + Netwk tables'!$C$11,"CA",".",'NIDS Data Entry + Netwk tables'!$C$30)</f>
        <v>blg-bMAIN-STCA.name.cisco.com</v>
      </c>
    </row>
    <row r="43" spans="2:3" ht="12.75">
      <c r="B43" s="87" t="s">
        <v>557</v>
      </c>
      <c r="C43" s="89" t="str">
        <f>CONCATENATE("sia-",'NIDS Data Entry + Netwk tables'!$C$11,"CA",".",'NIDS Data Entry + Netwk tables'!$C$30)</f>
        <v>sia-MAIN-STCA.name.cisco.com</v>
      </c>
    </row>
    <row r="44" spans="2:3" ht="12.75">
      <c r="B44" s="87" t="str">
        <f>CONCATENATE("DNS_FOR_CA",'NIDS Data Entry + Netwk tables'!$C$52,"_MGCP_COM")</f>
        <v>DNS_FOR_CA146_MGCP_COM</v>
      </c>
      <c r="C44" s="89" t="str">
        <f>CONCATENATE('NIDS Data Entry + Netwk tables'!$C$203,"-",'NIDS Data Entry + Netwk tables'!$C$11,"CA",'NIDS Data Entry + Netwk tables'!$C$52,".",'NIDS Data Entry + Netwk tables'!$C$30)</f>
        <v>mgcp-MAIN-STCA146.name.cisco.com</v>
      </c>
    </row>
    <row r="45" spans="2:3" ht="12.75">
      <c r="B45" s="87" t="s">
        <v>513</v>
      </c>
      <c r="C45" s="89" t="str">
        <f>CONCATENATE("crit-a",'NIDS Data Entry + Netwk tables'!$C$11,"CA",".",'NIDS Data Entry + Netwk tables'!$C$30)</f>
        <v>crit-aMAIN-STCA.name.cisco.com</v>
      </c>
    </row>
    <row r="46" spans="2:3" ht="12.75">
      <c r="B46" s="87" t="s">
        <v>514</v>
      </c>
      <c r="C46" s="89" t="str">
        <f>CONCATENATE("crit-b",'NIDS Data Entry + Netwk tables'!$C$11,"CA",".",'NIDS Data Entry + Netwk tables'!$C$30)</f>
        <v>crit-bMAIN-STCA.name.cisco.com</v>
      </c>
    </row>
    <row r="47" spans="2:3" ht="12.75">
      <c r="B47" s="87" t="s">
        <v>394</v>
      </c>
      <c r="C47" s="89" t="str">
        <f>CONCATENATE("sia-",'NIDS Data Entry + Netwk tables'!$C$11,"CA",".",'NIDS Data Entry + Netwk tables'!$C$30)</f>
        <v>sia-MAIN-STCA.name.cisco.com</v>
      </c>
    </row>
    <row r="48" spans="2:3" ht="12.75">
      <c r="B48" s="87" t="str">
        <f>CONCATENATE("DNS_FOR_CA",'NIDS Data Entry + Netwk tables'!$C$52,"_SIA_COM")</f>
        <v>DNS_FOR_CA146_SIA_COM</v>
      </c>
      <c r="C48" s="89" t="str">
        <f>CONCATENATE("sia-",'NIDS Data Entry + Netwk tables'!$C$11,"CA",'NIDS Data Entry + Netwk tables'!$C$52,".",'NIDS Data Entry + Netwk tables'!$C$30)</f>
        <v>sia-MAIN-STCA146.name.cisco.com</v>
      </c>
    </row>
    <row r="49" spans="2:3" ht="12.75">
      <c r="B49" s="87" t="str">
        <f>CONCATENATE("DNS_FOR_CA",'NIDS Data Entry + Netwk tables'!$C$52,"_H323_COM")</f>
        <v>DNS_FOR_CA146_H323_COM</v>
      </c>
      <c r="C49" s="89" t="str">
        <f>IF('NIDS Data Entry + Netwk tables'!$C$44="y",CONCATENATE("h3a-",'NIDS Data Entry + Netwk tables'!$C$11,"CA",'NIDS Data Entry + Netwk tables'!$C$52,".",'NIDS Data Entry + Netwk tables'!$C$30),"")</f>
        <v>h3a-MAIN-STCA146.name.cisco.com</v>
      </c>
    </row>
    <row r="50" spans="2:3" ht="12.75">
      <c r="B50" s="87" t="str">
        <f>CONCATENATE("DNS_FOR_CA",'NIDS Data Entry + Netwk tables'!$C$52,"_SIM_COM")</f>
        <v>DNS_FOR_CA146_SIM_COM</v>
      </c>
      <c r="C50" s="89" t="str">
        <f>CONCATENATE("sim-",'NIDS Data Entry + Netwk tables'!$C$11,"CA",'NIDS Data Entry + Netwk tables'!$C$52,".",'NIDS Data Entry + Netwk tables'!$C$30)</f>
        <v>sim-MAIN-STCA146.name.cisco.com</v>
      </c>
    </row>
    <row r="51" spans="2:3" ht="12.75">
      <c r="B51" s="87" t="s">
        <v>515</v>
      </c>
      <c r="C51" s="89" t="str">
        <f>CONCATENATE("anm-a",'NIDS Data Entry + Netwk tables'!$C$11,"CA",".",'NIDS Data Entry + Netwk tables'!$C$30)</f>
        <v>anm-aMAIN-STCA.name.cisco.com</v>
      </c>
    </row>
    <row r="52" spans="2:3" ht="12.75">
      <c r="B52" s="87" t="s">
        <v>516</v>
      </c>
      <c r="C52" s="89" t="str">
        <f>CONCATENATE("anm-b",'NIDS Data Entry + Netwk tables'!$C$11,"CA",".",'NIDS Data Entry + Netwk tables'!$C$30)</f>
        <v>anm-bMAIN-STCA.name.cisco.com</v>
      </c>
    </row>
    <row r="53" spans="2:3" ht="12.75">
      <c r="B53" s="87" t="s">
        <v>395</v>
      </c>
      <c r="C53" s="89" t="str">
        <f>CONCATENATE("sga-a",'NIDS Data Entry + Netwk tables'!$C$11,"CA",".",'NIDS Data Entry + Netwk tables'!$C$30)</f>
        <v>sga-aMAIN-STCA.name.cisco.com</v>
      </c>
    </row>
    <row r="54" spans="2:3" ht="12.75">
      <c r="B54" s="87" t="s">
        <v>396</v>
      </c>
      <c r="C54" s="89" t="str">
        <f>CONCATENATE("sga-b",'NIDS Data Entry + Netwk tables'!$C$11,"CA",".",'NIDS Data Entry + Netwk tables'!$C$30)</f>
        <v>sga-bMAIN-STCA.name.cisco.com</v>
      </c>
    </row>
    <row r="55" spans="2:3" ht="12.75">
      <c r="B55" s="87" t="s">
        <v>397</v>
      </c>
      <c r="C55" s="89" t="str">
        <f>CONCATENATE("bsm-a1",'NIDS Data Entry + Netwk tables'!$C$11,"CA",".",'NIDS Data Entry + Netwk tables'!$C$30)</f>
        <v>bsm-a1MAIN-STCA.name.cisco.com</v>
      </c>
    </row>
    <row r="56" spans="2:3" ht="12.75">
      <c r="B56" s="87" t="s">
        <v>398</v>
      </c>
      <c r="C56" s="89" t="str">
        <f>CONCATENATE("bsm-a2",'NIDS Data Entry + Netwk tables'!$C$11,"CA",".",'NIDS Data Entry + Netwk tables'!$C$30)</f>
        <v>bsm-a2MAIN-STCA.name.cisco.com</v>
      </c>
    </row>
    <row r="57" spans="2:3" ht="12.75">
      <c r="B57" s="87" t="s">
        <v>399</v>
      </c>
      <c r="C57" s="89" t="str">
        <f>CONCATENATE("bsm-b1",'NIDS Data Entry + Netwk tables'!$C$11,"CA",".",'NIDS Data Entry + Netwk tables'!$C$30)</f>
        <v>bsm-b1MAIN-STCA.name.cisco.com</v>
      </c>
    </row>
    <row r="58" spans="2:3" ht="12.75">
      <c r="B58" s="87" t="s">
        <v>400</v>
      </c>
      <c r="C58" s="89" t="str">
        <f>CONCATENATE("bsm-b2",'NIDS Data Entry + Netwk tables'!$C$11,"CA",".",'NIDS Data Entry + Netwk tables'!$C$30)</f>
        <v>bsm-b2MAIN-STCA.name.cisco.com</v>
      </c>
    </row>
    <row r="59" spans="2:3" ht="12.75">
      <c r="B59" s="87" t="str">
        <f>CONCATENATE("DNS_FOR_FSAIN",'NIDS Data Entry + Netwk tables'!$C$53,"_ASM_COM")</f>
        <v>DNS_FOR_FSAIN205_ASM_COM</v>
      </c>
      <c r="C59" s="89" t="str">
        <f>CONCATENATE("asm-",'NIDS Data Entry + Netwk tables'!$C$11,"AIN",'NIDS Data Entry + Netwk tables'!$C$53,".",'NIDS Data Entry + Netwk tables'!$C$30)</f>
        <v>asm-MAIN-STAIN205.name.cisco.com</v>
      </c>
    </row>
    <row r="60" spans="2:3" ht="12.75">
      <c r="B60" s="87" t="s">
        <v>401</v>
      </c>
      <c r="C60" s="89" t="str">
        <f>CONCATENATE("crit-a",'NIDS Data Entry + Netwk tables'!$C$11,"AIN",".",'NIDS Data Entry + Netwk tables'!$C$30)</f>
        <v>crit-aMAIN-STAIN.name.cisco.com</v>
      </c>
    </row>
    <row r="61" spans="2:3" ht="12.75">
      <c r="B61" s="87" t="s">
        <v>402</v>
      </c>
      <c r="C61" s="89" t="str">
        <f>CONCATENATE("crit-b",'NIDS Data Entry + Netwk tables'!$C$11,"AIN",".",'NIDS Data Entry + Netwk tables'!$C$30)</f>
        <v>crit-bMAIN-STAIN.name.cisco.com</v>
      </c>
    </row>
    <row r="62" spans="2:3" ht="12.75">
      <c r="B62" s="87" t="s">
        <v>403</v>
      </c>
      <c r="C62" s="89" t="str">
        <f>CONCATENATE("sgw-a",'NIDS Data Entry + Netwk tables'!$C$11,"AIN",".",'NIDS Data Entry + Netwk tables'!$C$30)</f>
        <v>sgw-aMAIN-STAIN.name.cisco.com</v>
      </c>
    </row>
    <row r="63" spans="2:3" ht="12.75">
      <c r="B63" s="87" t="s">
        <v>404</v>
      </c>
      <c r="C63" s="89" t="str">
        <f>CONCATENATE("sgw-b",'NIDS Data Entry + Netwk tables'!$C$11,"AIN",".",'NIDS Data Entry + Netwk tables'!$C$30)</f>
        <v>sgw-bMAIN-STAIN.name.cisco.com</v>
      </c>
    </row>
    <row r="64" spans="2:3" ht="12.75">
      <c r="B64" s="87" t="str">
        <f>CONCATENATE("DNS_FOR_FSPTC",'NIDS Data Entry + Netwk tables'!$C$54,"_POTS_COM")</f>
        <v>DNS_FOR_FSPTC235_POTS_COM</v>
      </c>
      <c r="C64" s="89" t="str">
        <f>CONCATENATE("pots-",'NIDS Data Entry + Netwk tables'!$C$11,"PTC",'NIDS Data Entry + Netwk tables'!$C$54,".",'NIDS Data Entry + Netwk tables'!$C$30)</f>
        <v>pots-MAIN-STPTC235.name.cisco.com</v>
      </c>
    </row>
    <row r="65" spans="2:3" ht="12.75">
      <c r="B65" s="87" t="s">
        <v>405</v>
      </c>
      <c r="C65" s="89" t="str">
        <f>CONCATENATE("crit-a",'NIDS Data Entry + Netwk tables'!$C$11,"PTC",".",'NIDS Data Entry + Netwk tables'!$C$30)</f>
        <v>crit-aMAIN-STPTC.name.cisco.com</v>
      </c>
    </row>
    <row r="66" spans="2:3" ht="12.75">
      <c r="B66" s="87" t="s">
        <v>406</v>
      </c>
      <c r="C66" s="89" t="str">
        <f>CONCATENATE("crit-b",'NIDS Data Entry + Netwk tables'!$C$11,"PTC",".",'NIDS Data Entry + Netwk tables'!$C$30)</f>
        <v>crit-bMAIN-STPTC.name.cisco.com</v>
      </c>
    </row>
    <row r="67" spans="2:3" ht="12.75">
      <c r="B67" s="87" t="s">
        <v>407</v>
      </c>
      <c r="C67" s="89" t="str">
        <f>CONCATENATE("sgw-a",'NIDS Data Entry + Netwk tables'!$C$11,"PTC",".",'NIDS Data Entry + Netwk tables'!$C$30)</f>
        <v>sgw-aMAIN-STPTC.name.cisco.com</v>
      </c>
    </row>
    <row r="68" spans="2:3" ht="12.75">
      <c r="B68" s="87" t="s">
        <v>408</v>
      </c>
      <c r="C68" s="89" t="str">
        <f>CONCATENATE("sgw-b",'NIDS Data Entry + Netwk tables'!$C$11,"PTC",".",'NIDS Data Entry + Netwk tables'!$C$30)</f>
        <v>sgw-bMAIN-STPTC.name.cisco.com</v>
      </c>
    </row>
    <row r="69" spans="2:3" ht="12.75">
      <c r="B69" s="87" t="str">
        <f>CONCATENATE("DNS_FOR_FSPTC",'NIDS Data Entry + Netwk tables'!$C$54,"_GFS_COM")</f>
        <v>DNS_FOR_FSPTC235_GFS_COM</v>
      </c>
      <c r="C69" s="89" t="str">
        <f>CONCATENATE("gfs-",'NIDS Data Entry + Netwk tables'!$C$11,"PTC",'NIDS Data Entry + Netwk tables'!$C$54,".",'NIDS Data Entry + Netwk tables'!$C$30)</f>
        <v>gfs-MAIN-STPTC235.name.cisco.com</v>
      </c>
    </row>
    <row r="70" spans="2:3" ht="12.75">
      <c r="B70" s="87" t="s">
        <v>409</v>
      </c>
      <c r="C70" s="89" t="str">
        <f>CONCATENATE("crit-a",'NIDS Data Entry + Netwk tables'!$C$11,"EMS",".",'NIDS Data Entry + Netwk tables'!$C$30)</f>
        <v>crit-aMAIN-STEMS.name.cisco.com</v>
      </c>
    </row>
    <row r="71" spans="2:3" ht="12.75">
      <c r="B71" s="87" t="s">
        <v>410</v>
      </c>
      <c r="C71" s="89" t="str">
        <f>CONCATENATE("crit-b",'NIDS Data Entry + Netwk tables'!$C$11,"EMS",".",'NIDS Data Entry + Netwk tables'!$C$30)</f>
        <v>crit-bMAIN-STEMS.name.cisco.com</v>
      </c>
    </row>
    <row r="72" spans="2:3" ht="12.75">
      <c r="B72" s="87" t="s">
        <v>411</v>
      </c>
      <c r="C72" s="89" t="str">
        <f>CONCATENATE("oms-a",'NIDS Data Entry + Netwk tables'!$C$11,"CA",".",'NIDS Data Entry + Netwk tables'!$C$30)</f>
        <v>oms-aMAIN-STCA.name.cisco.com</v>
      </c>
    </row>
    <row r="73" spans="2:3" ht="12.75">
      <c r="B73" s="87" t="s">
        <v>412</v>
      </c>
      <c r="C73" s="89" t="str">
        <f>CONCATENATE("oms-b",'NIDS Data Entry + Netwk tables'!$C$11,"CA",".",'NIDS Data Entry + Netwk tables'!$C$30)</f>
        <v>oms-bMAIN-STCA.name.cisco.com</v>
      </c>
    </row>
    <row r="74" spans="2:3" ht="12.75">
      <c r="B74" s="87" t="s">
        <v>413</v>
      </c>
      <c r="C74" s="89" t="str">
        <f>CONCATENATE("oms-a",'NIDS Data Entry + Netwk tables'!$C$11,"AIN",".",'NIDS Data Entry + Netwk tables'!$C$30)</f>
        <v>oms-aMAIN-STAIN.name.cisco.com</v>
      </c>
    </row>
    <row r="75" spans="2:3" ht="12.75">
      <c r="B75" s="87" t="s">
        <v>414</v>
      </c>
      <c r="C75" s="89" t="str">
        <f>CONCATENATE("oms-b",'NIDS Data Entry + Netwk tables'!$C$11,"AIN",".",'NIDS Data Entry + Netwk tables'!$C$30)</f>
        <v>oms-bMAIN-STAIN.name.cisco.com</v>
      </c>
    </row>
    <row r="76" spans="2:3" ht="12.75">
      <c r="B76" s="87" t="s">
        <v>416</v>
      </c>
      <c r="C76" s="89" t="str">
        <f>CONCATENATE("oms-a",'NIDS Data Entry + Netwk tables'!$C$11,"PTC",".",'NIDS Data Entry + Netwk tables'!$C$30)</f>
        <v>oms-aMAIN-STPTC.name.cisco.com</v>
      </c>
    </row>
    <row r="77" spans="2:3" ht="12.75">
      <c r="B77" s="87" t="s">
        <v>417</v>
      </c>
      <c r="C77" s="89" t="str">
        <f>CONCATENATE("oms-b",'NIDS Data Entry + Netwk tables'!$C$11,"PTC",".",'NIDS Data Entry + Netwk tables'!$C$30)</f>
        <v>oms-bMAIN-STPTC.name.cisco.com</v>
      </c>
    </row>
    <row r="78" spans="1:3" s="84" customFormat="1" ht="12.75">
      <c r="A78" s="33"/>
      <c r="B78" s="87" t="s">
        <v>418</v>
      </c>
      <c r="C78" s="89" t="str">
        <f>CONCATENATE("oms-a",'NIDS Data Entry + Netwk tables'!$C$11,"EMS",".",'NIDS Data Entry + Netwk tables'!$C$30)</f>
        <v>oms-aMAIN-STEMS.name.cisco.com</v>
      </c>
    </row>
    <row r="79" spans="2:3" ht="12.75">
      <c r="B79" s="87" t="s">
        <v>422</v>
      </c>
      <c r="C79" s="89" t="str">
        <f>CONCATENATE("oms-b",'NIDS Data Entry + Netwk tables'!$C$11,"EMS",".",'NIDS Data Entry + Netwk tables'!$C$30)</f>
        <v>oms-bMAIN-STEMS.name.cisco.com</v>
      </c>
    </row>
    <row r="80" spans="2:3" ht="12.75">
      <c r="B80" s="87" t="str">
        <f>CONCATENATE("CA",'NIDS Data Entry + Netwk tables'!$C$52,"_LAF_PARAMETER")</f>
        <v>CA146_LAF_PARAMETER</v>
      </c>
      <c r="C80" s="89" t="str">
        <f>CONCATENATE("""",'NIDS Data Entry + Netwk tables'!$C$183," ",'NIDS Data Entry + Netwk tables'!$C$184," ",'NIDS Data Entry + Netwk tables'!$C$185,"""")</f>
        <v>"logStorage /archive/BTS1-CA 20"</v>
      </c>
    </row>
    <row r="81" spans="2:3" ht="12.75">
      <c r="B81" s="87" t="str">
        <f>CONCATENATE("FSPTC",'NIDS Data Entry + Netwk tables'!$C$54,"_LAF_PARAMETER")</f>
        <v>FSPTC235_LAF_PARAMETER</v>
      </c>
      <c r="C81" s="89" t="str">
        <f>CONCATENATE("""",'NIDS Data Entry + Netwk tables'!$C$186," ",'NIDS Data Entry + Netwk tables'!$C$187," ",'NIDS Data Entry + Netwk tables'!$C$188,"""")</f>
        <v>"logStorage /archive/BTS1-FSPTC 20"</v>
      </c>
    </row>
    <row r="82" spans="2:3" ht="12.75">
      <c r="B82" s="87" t="str">
        <f>CONCATENATE("FSAIN",'NIDS Data Entry + Netwk tables'!$C$53,"_LAF_PARAMETER")</f>
        <v>FSAIN205_LAF_PARAMETER</v>
      </c>
      <c r="C82" s="89" t="str">
        <f>CONCATENATE("""",'NIDS Data Entry + Netwk tables'!$C$189," ",'NIDS Data Entry + Netwk tables'!$C$190," ",'NIDS Data Entry + Netwk tables'!$C$191,"""")</f>
        <v>"logStorage /archive/BTS1-FSAIN 20"</v>
      </c>
    </row>
    <row r="83" spans="2:3" ht="12.75">
      <c r="B83" s="87" t="str">
        <f>CONCATENATE("EMS_LAF_PARAMETER")</f>
        <v>EMS_LAF_PARAMETER</v>
      </c>
      <c r="C83" s="89" t="str">
        <f>CONCATENATE("""",'NIDS Data Entry + Netwk tables'!$C$192," ",'NIDS Data Entry + Netwk tables'!$C$193," ",'NIDS Data Entry + Netwk tables'!$C$194,"""")</f>
        <v>"logStorage /archive/BTS1-EMS 20"</v>
      </c>
    </row>
    <row r="84" spans="2:3" ht="12.75">
      <c r="B84" s="87" t="str">
        <f>CONCATENATE("BDMS_LAF_PARAMETER")</f>
        <v>BDMS_LAF_PARAMETER</v>
      </c>
      <c r="C84" s="89" t="str">
        <f>CONCATENATE("""",'NIDS Data Entry + Netwk tables'!$C$195," ",'NIDS Data Entry + Netwk tables'!$C$196," ",'NIDS Data Entry + Netwk tables'!$C$197,"""")</f>
        <v>"logStorage /archive/BTS1-BDMS 20"</v>
      </c>
    </row>
    <row r="85" spans="2:3" ht="12.75">
      <c r="B85" s="87" t="s">
        <v>84</v>
      </c>
      <c r="C85" s="89" t="str">
        <f>CONCATENATE('NIDS Data Entry + Netwk tables'!$C$200)</f>
        <v>y</v>
      </c>
    </row>
    <row r="86" spans="2:3" ht="12.75">
      <c r="B86" s="87" t="s">
        <v>162</v>
      </c>
      <c r="C86" s="89" t="e">
        <f>CONCATENATE('NIDS Data Entry + Netwk tables'!#REF!)</f>
        <v>#REF!</v>
      </c>
    </row>
    <row r="87" spans="2:3" ht="12.75">
      <c r="B87" s="87" t="s">
        <v>657</v>
      </c>
      <c r="C87" s="89" t="str">
        <f>CONCATENATE('NIDS Data Entry + Netwk tables'!$C$206)</f>
        <v>semicolon</v>
      </c>
    </row>
    <row r="88" spans="2:3" ht="12.75">
      <c r="B88" s="87" t="s">
        <v>658</v>
      </c>
      <c r="C88" s="89" t="str">
        <f>CONCATENATE('NIDS Data Entry + Netwk tables'!$C$207)</f>
        <v>verticalbar</v>
      </c>
    </row>
    <row r="89" spans="2:3" ht="12.75">
      <c r="B89" s="87" t="s">
        <v>177</v>
      </c>
      <c r="C89" s="88" t="str">
        <f>CONCATENATE('NIDS Data Entry + Netwk tables'!$C$226)</f>
        <v>22:00</v>
      </c>
    </row>
    <row r="90" spans="2:3" ht="12.75">
      <c r="B90" s="87" t="s">
        <v>178</v>
      </c>
      <c r="C90" s="156" t="str">
        <f>CONCATENATE('NIDS Data Entry + Netwk tables'!$C$227)</f>
        <v>22:15</v>
      </c>
    </row>
    <row r="91" spans="2:3" ht="12.75">
      <c r="B91" s="87" t="s">
        <v>179</v>
      </c>
      <c r="C91" s="156" t="str">
        <f>CONCATENATE('NIDS Data Entry + Netwk tables'!$C$228)</f>
        <v>22:30</v>
      </c>
    </row>
    <row r="92" spans="2:3" ht="12.75">
      <c r="B92" s="87" t="s">
        <v>180</v>
      </c>
      <c r="C92" s="156" t="str">
        <f>CONCATENATE('NIDS Data Entry + Netwk tables'!$C$229)</f>
        <v>22:00</v>
      </c>
    </row>
    <row r="93" spans="2:3" ht="12.75">
      <c r="B93" s="87" t="s">
        <v>181</v>
      </c>
      <c r="C93" s="156" t="str">
        <f>CONCATENATE('NIDS Data Entry + Netwk tables'!$C$230)</f>
        <v>22:15</v>
      </c>
    </row>
    <row r="94" spans="2:3" ht="12.75">
      <c r="B94" s="87" t="s">
        <v>694</v>
      </c>
      <c r="C94" s="156" t="str">
        <f>CONCATENATE('NIDS Data Entry + Netwk tables'!$C$212)</f>
        <v>10</v>
      </c>
    </row>
    <row r="95" spans="2:3" ht="12.75">
      <c r="B95" s="87" t="s">
        <v>695</v>
      </c>
      <c r="C95" s="156" t="str">
        <f>CONCATENATE('NIDS Data Entry + Netwk tables'!$C$213)</f>
        <v>10</v>
      </c>
    </row>
    <row r="96" spans="2:3" ht="12.75">
      <c r="B96" s="87" t="s">
        <v>696</v>
      </c>
      <c r="C96" s="156" t="str">
        <f>CONCATENATE('NIDS Data Entry + Netwk tables'!$C$214)</f>
        <v>10</v>
      </c>
    </row>
    <row r="97" spans="2:3" ht="12.75">
      <c r="B97" s="87" t="s">
        <v>697</v>
      </c>
      <c r="C97" s="156" t="str">
        <f>CONCATENATE('NIDS Data Entry + Netwk tables'!$C$215)</f>
        <v>10</v>
      </c>
    </row>
    <row r="98" spans="2:3" ht="12.75">
      <c r="B98" s="87" t="s">
        <v>698</v>
      </c>
      <c r="C98" s="156" t="str">
        <f>CONCATENATE('NIDS Data Entry + Netwk tables'!$C$216)</f>
        <v>10</v>
      </c>
    </row>
    <row r="99" spans="2:3" ht="12.75">
      <c r="B99" s="87" t="s">
        <v>699</v>
      </c>
      <c r="C99" s="156" t="str">
        <f>CONCATENATE('NIDS Data Entry + Netwk tables'!$C$218)</f>
        <v>3</v>
      </c>
    </row>
    <row r="100" spans="2:3" ht="12.75">
      <c r="B100" s="87" t="s">
        <v>700</v>
      </c>
      <c r="C100" s="156" t="str">
        <f>CONCATENATE('NIDS Data Entry + Netwk tables'!$C$219)</f>
        <v>3</v>
      </c>
    </row>
    <row r="101" spans="2:3" ht="12.75">
      <c r="B101" s="87" t="s">
        <v>587</v>
      </c>
      <c r="C101" s="156" t="str">
        <f>CONCATENATE('NIDS Data Entry + Netwk tables'!$C$220)</f>
        <v>3</v>
      </c>
    </row>
    <row r="102" spans="2:3" ht="12.75">
      <c r="B102" s="87" t="s">
        <v>701</v>
      </c>
      <c r="C102" s="156" t="str">
        <f>CONCATENATE('NIDS Data Entry + Netwk tables'!$C$221)</f>
        <v>3</v>
      </c>
    </row>
    <row r="103" spans="2:3" ht="12.75">
      <c r="B103" s="87" t="s">
        <v>702</v>
      </c>
      <c r="C103" s="156" t="str">
        <f>CONCATENATE('NIDS Data Entry + Netwk tables'!$C$222)</f>
        <v>3</v>
      </c>
    </row>
    <row r="104" spans="2:3" ht="12.75">
      <c r="B104" s="87" t="s">
        <v>652</v>
      </c>
      <c r="C104" s="89" t="str">
        <f>CONCATENATE("mdii-a",'NIDS Data Entry + Netwk tables'!$C$11,"EMS",".",'NIDS Data Entry + Netwk tables'!$C$30)</f>
        <v>mdii-aMAIN-STEMS.name.cisco.com</v>
      </c>
    </row>
    <row r="105" spans="2:3" ht="12.75">
      <c r="B105" s="87" t="s">
        <v>653</v>
      </c>
      <c r="C105" s="89" t="str">
        <f>CONCATENATE("mdii-b",'NIDS Data Entry + Netwk tables'!$C$11,"EMS",".",'NIDS Data Entry + Netwk tables'!$C$30)</f>
        <v>mdii-bMAIN-STEMS.name.cisco.com</v>
      </c>
    </row>
    <row r="106" spans="2:3" ht="12.75">
      <c r="B106" s="87" t="s">
        <v>654</v>
      </c>
      <c r="C106" s="89" t="str">
        <f>CONCATENATE("iua-a",'NIDS Data Entry + Netwk tables'!$C$11,"CA",".",'NIDS Data Entry + Netwk tables'!$C$30)</f>
        <v>iua-aMAIN-STCA.name.cisco.com</v>
      </c>
    </row>
    <row r="107" spans="2:3" ht="12.75">
      <c r="B107" s="87" t="s">
        <v>655</v>
      </c>
      <c r="C107" s="89" t="str">
        <f>CONCATENATE("iua-b",'NIDS Data Entry + Netwk tables'!$C$11,"CA",".",'NIDS Data Entry + Netwk tables'!$C$30)</f>
        <v>iua-bMAIN-STCA.name.cisco.com</v>
      </c>
    </row>
    <row r="122" ht="12.75">
      <c r="C122" s="85"/>
    </row>
  </sheetData>
  <sheetProtection/>
  <printOptions/>
  <pageMargins left="0.75" right="0.39" top="0.2" bottom="0.89" header="0.17" footer="0.17"/>
  <pageSetup horizontalDpi="600" verticalDpi="600" orientation="landscape" r:id="rId3"/>
  <headerFooter alignWithMargins="0">
    <oddFooter>&amp;LCisco Systems, Inc. Confidential&amp;C&amp;A&amp;R&amp;D   Page &amp;P of &amp;N</oddFooter>
  </headerFooter>
  <legacyDrawing r:id="rId2"/>
</worksheet>
</file>

<file path=xl/worksheets/sheet5.xml><?xml version="1.0" encoding="utf-8"?>
<worksheet xmlns="http://schemas.openxmlformats.org/spreadsheetml/2006/main" xmlns:r="http://schemas.openxmlformats.org/officeDocument/2006/relationships">
  <dimension ref="A1:IV672"/>
  <sheetViews>
    <sheetView showGridLines="0" workbookViewId="0" topLeftCell="A1">
      <selection activeCell="A273" sqref="A273"/>
    </sheetView>
  </sheetViews>
  <sheetFormatPr defaultColWidth="9.140625" defaultRowHeight="12.75"/>
  <cols>
    <col min="1" max="1" width="98.8515625" style="92" bestFit="1" customWidth="1"/>
    <col min="2" max="16384" width="0" style="69" hidden="1" customWidth="1"/>
  </cols>
  <sheetData>
    <row r="1" ht="13.5">
      <c r="A1" s="93" t="s">
        <v>523</v>
      </c>
    </row>
    <row r="2" ht="13.5">
      <c r="A2" s="93" t="s">
        <v>588</v>
      </c>
    </row>
    <row r="3" ht="13.5">
      <c r="A3" s="93" t="s">
        <v>524</v>
      </c>
    </row>
    <row r="4" spans="1:4" ht="13.5">
      <c r="A4" s="93" t="s">
        <v>704</v>
      </c>
      <c r="B4" s="69" t="s">
        <v>636</v>
      </c>
      <c r="D4" s="69" t="s">
        <v>637</v>
      </c>
    </row>
    <row r="5" spans="1:3" ht="13.5">
      <c r="A5" s="93" t="s">
        <v>705</v>
      </c>
      <c r="B5" s="69" t="s">
        <v>638</v>
      </c>
      <c r="C5" s="69" t="s">
        <v>639</v>
      </c>
    </row>
    <row r="6" spans="1:3" ht="13.5">
      <c r="A6" s="93" t="s">
        <v>706</v>
      </c>
      <c r="B6" s="124">
        <v>36650</v>
      </c>
      <c r="C6" s="69" t="s">
        <v>640</v>
      </c>
    </row>
    <row r="7" spans="1:3" ht="13.5">
      <c r="A7" s="93" t="s">
        <v>707</v>
      </c>
      <c r="B7" s="124">
        <v>36753</v>
      </c>
      <c r="C7" s="69" t="s">
        <v>641</v>
      </c>
    </row>
    <row r="8" spans="1:3" ht="13.5">
      <c r="A8" s="93" t="s">
        <v>708</v>
      </c>
      <c r="B8" s="124">
        <v>36761</v>
      </c>
      <c r="C8" s="69" t="s">
        <v>642</v>
      </c>
    </row>
    <row r="9" spans="1:3" ht="13.5">
      <c r="A9" s="93" t="s">
        <v>709</v>
      </c>
      <c r="B9" s="124">
        <v>37006</v>
      </c>
      <c r="C9" s="69" t="s">
        <v>643</v>
      </c>
    </row>
    <row r="10" ht="13.5">
      <c r="A10" s="93" t="s">
        <v>710</v>
      </c>
    </row>
    <row r="11" spans="1:3" ht="13.5">
      <c r="A11" s="93" t="s">
        <v>711</v>
      </c>
      <c r="B11" s="124">
        <v>37236</v>
      </c>
      <c r="C11" s="69" t="s">
        <v>644</v>
      </c>
    </row>
    <row r="12" spans="1:3" ht="13.5">
      <c r="A12" s="93" t="s">
        <v>712</v>
      </c>
      <c r="B12" s="124">
        <v>37291</v>
      </c>
      <c r="C12" s="69" t="s">
        <v>645</v>
      </c>
    </row>
    <row r="13" ht="13.5">
      <c r="A13" s="93" t="s">
        <v>525</v>
      </c>
    </row>
    <row r="14" spans="1:3" ht="13.5">
      <c r="A14" s="93" t="s">
        <v>713</v>
      </c>
      <c r="B14" s="124">
        <v>37438</v>
      </c>
      <c r="C14" s="69" t="s">
        <v>703</v>
      </c>
    </row>
    <row r="15" ht="13.5">
      <c r="A15" s="93" t="s">
        <v>714</v>
      </c>
    </row>
    <row r="16" ht="13.5">
      <c r="A16" s="93" t="s">
        <v>715</v>
      </c>
    </row>
    <row r="17" ht="13.5">
      <c r="A17" s="93" t="s">
        <v>716</v>
      </c>
    </row>
    <row r="18" ht="13.5">
      <c r="A18" s="93" t="s">
        <v>717</v>
      </c>
    </row>
    <row r="19" ht="13.5">
      <c r="A19" s="93" t="s">
        <v>526</v>
      </c>
    </row>
    <row r="20" ht="13.5">
      <c r="A20" s="93" t="s">
        <v>741</v>
      </c>
    </row>
    <row r="21" ht="13.5">
      <c r="A21" s="93" t="s">
        <v>742</v>
      </c>
    </row>
    <row r="22" ht="13.5">
      <c r="A22" s="93" t="s">
        <v>527</v>
      </c>
    </row>
    <row r="23" ht="13.5">
      <c r="A23" s="93" t="s">
        <v>528</v>
      </c>
    </row>
    <row r="24" ht="13.5">
      <c r="A24" s="93" t="s">
        <v>743</v>
      </c>
    </row>
    <row r="25" ht="13.5">
      <c r="A25" s="93" t="s">
        <v>529</v>
      </c>
    </row>
    <row r="26" ht="13.5">
      <c r="A26" s="93" t="s">
        <v>0</v>
      </c>
    </row>
    <row r="27" ht="13.5">
      <c r="A27" s="93" t="s">
        <v>530</v>
      </c>
    </row>
    <row r="28" ht="13.5">
      <c r="A28" s="93" t="s">
        <v>1</v>
      </c>
    </row>
    <row r="29" ht="13.5">
      <c r="A29" s="93" t="s">
        <v>182</v>
      </c>
    </row>
    <row r="30" ht="13.5">
      <c r="A30" s="93" t="s">
        <v>625</v>
      </c>
    </row>
    <row r="31" ht="13.5">
      <c r="A31" s="93" t="s">
        <v>626</v>
      </c>
    </row>
    <row r="32" ht="13.5">
      <c r="A32" s="93" t="s">
        <v>627</v>
      </c>
    </row>
    <row r="33" ht="13.5">
      <c r="A33" s="93" t="s">
        <v>183</v>
      </c>
    </row>
    <row r="34" ht="13.5">
      <c r="A34" s="93" t="s">
        <v>184</v>
      </c>
    </row>
    <row r="35" ht="13.5">
      <c r="A35" s="93" t="s">
        <v>185</v>
      </c>
    </row>
    <row r="36" ht="13.5">
      <c r="A36" s="93" t="s">
        <v>2</v>
      </c>
    </row>
    <row r="37" ht="13.5">
      <c r="A37" s="93" t="s">
        <v>628</v>
      </c>
    </row>
    <row r="38" ht="13.5">
      <c r="A38" s="93" t="s">
        <v>3</v>
      </c>
    </row>
    <row r="39" ht="13.5">
      <c r="A39" s="93" t="s">
        <v>98</v>
      </c>
    </row>
    <row r="40" ht="13.5">
      <c r="A40" s="93" t="s">
        <v>99</v>
      </c>
    </row>
    <row r="41" ht="13.5">
      <c r="A41" s="93" t="s">
        <v>589</v>
      </c>
    </row>
    <row r="42" ht="13.5">
      <c r="A42" s="93" t="s">
        <v>590</v>
      </c>
    </row>
    <row r="43" ht="13.5">
      <c r="A43" s="93" t="s">
        <v>591</v>
      </c>
    </row>
    <row r="44" ht="13.5">
      <c r="A44" s="93" t="s">
        <v>592</v>
      </c>
    </row>
    <row r="45" ht="13.5">
      <c r="A45" s="93" t="s">
        <v>593</v>
      </c>
    </row>
    <row r="46" ht="13.5">
      <c r="A46" s="93" t="s">
        <v>594</v>
      </c>
    </row>
    <row r="47" ht="13.5">
      <c r="A47" s="93" t="s">
        <v>595</v>
      </c>
    </row>
    <row r="48" ht="13.5">
      <c r="A48" s="93" t="s">
        <v>596</v>
      </c>
    </row>
    <row r="49" ht="13.5">
      <c r="A49" s="93" t="s">
        <v>597</v>
      </c>
    </row>
    <row r="50" ht="13.5">
      <c r="A50" s="93" t="s">
        <v>598</v>
      </c>
    </row>
    <row r="51" ht="13.5">
      <c r="A51" s="93" t="s">
        <v>599</v>
      </c>
    </row>
    <row r="52" ht="13.5">
      <c r="A52" s="93" t="s">
        <v>600</v>
      </c>
    </row>
    <row r="53" ht="13.5">
      <c r="A53" s="93" t="s">
        <v>601</v>
      </c>
    </row>
    <row r="54" ht="13.5">
      <c r="A54" s="93" t="s">
        <v>602</v>
      </c>
    </row>
    <row r="55" ht="13.5">
      <c r="A55" s="93" t="s">
        <v>524</v>
      </c>
    </row>
    <row r="56" ht="13.5">
      <c r="A56" s="93" t="s">
        <v>524</v>
      </c>
    </row>
    <row r="57" ht="13.5">
      <c r="A57" s="93" t="s">
        <v>531</v>
      </c>
    </row>
    <row r="58" ht="13.5">
      <c r="A58" s="93" t="s">
        <v>524</v>
      </c>
    </row>
    <row r="59" ht="13.5">
      <c r="A59" s="93" t="s">
        <v>319</v>
      </c>
    </row>
    <row r="60" ht="13.5">
      <c r="A60" s="93" t="s">
        <v>320</v>
      </c>
    </row>
    <row r="61" ht="13.5">
      <c r="A61" s="93" t="s">
        <v>321</v>
      </c>
    </row>
    <row r="62" ht="13.5">
      <c r="A62" s="93" t="s">
        <v>322</v>
      </c>
    </row>
    <row r="63" ht="13.5">
      <c r="A63" s="93" t="s">
        <v>323</v>
      </c>
    </row>
    <row r="64" ht="13.5">
      <c r="A64" s="93" t="s">
        <v>532</v>
      </c>
    </row>
    <row r="65" ht="13.5">
      <c r="A65" s="93" t="s">
        <v>324</v>
      </c>
    </row>
    <row r="66" ht="13.5">
      <c r="A66" s="93" t="s">
        <v>524</v>
      </c>
    </row>
    <row r="67" ht="13.5">
      <c r="A67" s="93" t="s">
        <v>524</v>
      </c>
    </row>
    <row r="68" ht="13.5">
      <c r="A68" s="93" t="s">
        <v>207</v>
      </c>
    </row>
    <row r="69" ht="13.5">
      <c r="A69" s="93" t="s">
        <v>208</v>
      </c>
    </row>
    <row r="70" ht="13.5">
      <c r="A70" s="93" t="s">
        <v>209</v>
      </c>
    </row>
    <row r="71" ht="13.5">
      <c r="A71" s="93" t="s">
        <v>210</v>
      </c>
    </row>
    <row r="72" ht="13.5">
      <c r="A72" s="93" t="s">
        <v>524</v>
      </c>
    </row>
    <row r="73" ht="13.5">
      <c r="A73" s="93" t="s">
        <v>211</v>
      </c>
    </row>
    <row r="74" ht="13.5">
      <c r="A74" s="93" t="s">
        <v>524</v>
      </c>
    </row>
    <row r="75" ht="13.5">
      <c r="A75" s="93" t="s">
        <v>212</v>
      </c>
    </row>
    <row r="76" ht="13.5">
      <c r="A76" s="93" t="s">
        <v>213</v>
      </c>
    </row>
    <row r="77" ht="13.5">
      <c r="A77" s="93" t="s">
        <v>214</v>
      </c>
    </row>
    <row r="78" ht="13.5">
      <c r="A78" s="93" t="s">
        <v>215</v>
      </c>
    </row>
    <row r="79" ht="13.5">
      <c r="A79" s="93" t="s">
        <v>216</v>
      </c>
    </row>
    <row r="80" ht="13.5">
      <c r="A80" s="93" t="s">
        <v>217</v>
      </c>
    </row>
    <row r="81" ht="13.5">
      <c r="A81" s="93" t="s">
        <v>218</v>
      </c>
    </row>
    <row r="82" ht="13.5">
      <c r="A82" s="93" t="s">
        <v>216</v>
      </c>
    </row>
    <row r="83" ht="13.5">
      <c r="A83" s="93" t="s">
        <v>219</v>
      </c>
    </row>
    <row r="84" ht="13.5">
      <c r="A84" s="93" t="s">
        <v>220</v>
      </c>
    </row>
    <row r="85" ht="13.5">
      <c r="A85" s="93" t="s">
        <v>221</v>
      </c>
    </row>
    <row r="86" ht="13.5">
      <c r="A86" s="93" t="s">
        <v>222</v>
      </c>
    </row>
    <row r="87" ht="13.5">
      <c r="A87" s="93" t="s">
        <v>223</v>
      </c>
    </row>
    <row r="88" ht="13.5">
      <c r="A88" s="93" t="s">
        <v>224</v>
      </c>
    </row>
    <row r="89" ht="13.5">
      <c r="A89" s="93" t="s">
        <v>225</v>
      </c>
    </row>
    <row r="90" ht="13.5">
      <c r="A90" s="93" t="s">
        <v>524</v>
      </c>
    </row>
    <row r="91" ht="13.5">
      <c r="A91" s="93" t="s">
        <v>226</v>
      </c>
    </row>
    <row r="92" ht="13.5">
      <c r="A92" s="93" t="s">
        <v>603</v>
      </c>
    </row>
    <row r="93" ht="13.5">
      <c r="A93" s="93" t="s">
        <v>604</v>
      </c>
    </row>
    <row r="94" ht="13.5">
      <c r="A94" s="93" t="s">
        <v>605</v>
      </c>
    </row>
    <row r="95" ht="13.5">
      <c r="A95" s="93" t="s">
        <v>606</v>
      </c>
    </row>
    <row r="96" ht="13.5">
      <c r="A96" s="93" t="s">
        <v>607</v>
      </c>
    </row>
    <row r="97" ht="13.5">
      <c r="A97" s="93" t="s">
        <v>226</v>
      </c>
    </row>
    <row r="98" ht="13.5">
      <c r="A98" s="93"/>
    </row>
    <row r="99" ht="13.5">
      <c r="A99" s="93"/>
    </row>
    <row r="100" ht="13.5">
      <c r="A100" s="93" t="s">
        <v>227</v>
      </c>
    </row>
    <row r="101" ht="13.5">
      <c r="A101" s="93" t="s">
        <v>228</v>
      </c>
    </row>
    <row r="102" ht="13.5">
      <c r="A102" s="93" t="s">
        <v>524</v>
      </c>
    </row>
    <row r="103" ht="13.5">
      <c r="A103" s="93" t="s">
        <v>229</v>
      </c>
    </row>
    <row r="104" ht="13.5">
      <c r="A104" s="93" t="s">
        <v>524</v>
      </c>
    </row>
    <row r="105" ht="13.5">
      <c r="A105" s="93" t="str">
        <f>CONCATENATE('NIDS Opticall table'!$B$4,"=",'NIDS Opticall table'!$C$4)</f>
        <v>SITEID=MAIN-ST</v>
      </c>
    </row>
    <row r="106" ht="13.5">
      <c r="A106" s="93"/>
    </row>
    <row r="107" ht="13.5">
      <c r="A107" s="93"/>
    </row>
    <row r="108" ht="13.5">
      <c r="A108" s="93" t="s">
        <v>524</v>
      </c>
    </row>
    <row r="109" ht="13.5">
      <c r="A109" s="93" t="s">
        <v>230</v>
      </c>
    </row>
    <row r="110" ht="13.5">
      <c r="A110" s="93" t="s">
        <v>231</v>
      </c>
    </row>
    <row r="111" ht="13.5">
      <c r="A111" s="93" t="s">
        <v>232</v>
      </c>
    </row>
    <row r="112" ht="13.5">
      <c r="A112" s="93" t="s">
        <v>524</v>
      </c>
    </row>
    <row r="113" ht="13.5">
      <c r="A113" s="130" t="str">
        <f>CONCATENATE('NIDS Opticall table'!$B$5,"=",'NIDS Opticall table'!$C$5)</f>
        <v>GDRS_ENABLED=n</v>
      </c>
    </row>
    <row r="114" ht="13.5">
      <c r="A114" s="93"/>
    </row>
    <row r="115" ht="13.5">
      <c r="A115" s="93"/>
    </row>
    <row r="116" ht="13.5">
      <c r="A116" s="93" t="s">
        <v>524</v>
      </c>
    </row>
    <row r="117" ht="13.5">
      <c r="A117" s="93" t="s">
        <v>325</v>
      </c>
    </row>
    <row r="118" ht="13.5">
      <c r="A118" s="93" t="s">
        <v>233</v>
      </c>
    </row>
    <row r="119" ht="13.5">
      <c r="A119" s="93" t="s">
        <v>524</v>
      </c>
    </row>
    <row r="120" ht="13.5">
      <c r="A120" s="130" t="str">
        <f>CONCATENATE('NIDS Opticall table'!$B$6,"=",'NIDS Opticall table'!$C$6)</f>
        <v>H323_ENABLED=y</v>
      </c>
    </row>
    <row r="121" ht="13.5">
      <c r="A121" s="93"/>
    </row>
    <row r="122" ht="13.5">
      <c r="A122" s="93"/>
    </row>
    <row r="123" ht="13.5">
      <c r="A123" s="93" t="s">
        <v>524</v>
      </c>
    </row>
    <row r="124" ht="13.5">
      <c r="A124" s="93" t="s">
        <v>4</v>
      </c>
    </row>
    <row r="125" ht="13.5">
      <c r="A125" s="93" t="s">
        <v>5</v>
      </c>
    </row>
    <row r="126" ht="12.75">
      <c r="A126" s="154" t="s">
        <v>90</v>
      </c>
    </row>
    <row r="127" ht="12.75">
      <c r="A127" s="154" t="s">
        <v>91</v>
      </c>
    </row>
    <row r="128" ht="12.75">
      <c r="A128" s="154" t="s">
        <v>92</v>
      </c>
    </row>
    <row r="129" ht="12.75">
      <c r="A129" s="154" t="s">
        <v>93</v>
      </c>
    </row>
    <row r="130" ht="12.75">
      <c r="A130" s="154" t="s">
        <v>94</v>
      </c>
    </row>
    <row r="131" ht="12.75">
      <c r="A131" s="154" t="s">
        <v>96</v>
      </c>
    </row>
    <row r="132" ht="12.75">
      <c r="A132" s="154" t="s">
        <v>97</v>
      </c>
    </row>
    <row r="133" ht="12.75">
      <c r="A133" s="154" t="s">
        <v>95</v>
      </c>
    </row>
    <row r="134" ht="12.75">
      <c r="A134" s="154" t="s">
        <v>144</v>
      </c>
    </row>
    <row r="135" ht="13.5">
      <c r="A135" s="93" t="s">
        <v>524</v>
      </c>
    </row>
    <row r="136" ht="13.5">
      <c r="A136" s="130" t="str">
        <f>CONCATENATE('NIDS Opticall table'!$B$7,"=",'NIDS Opticall table'!$C$7)</f>
        <v>NAMED_ENABLED=n</v>
      </c>
    </row>
    <row r="137" ht="13.5">
      <c r="A137" s="93"/>
    </row>
    <row r="138" ht="13.5">
      <c r="A138" s="93"/>
    </row>
    <row r="139" ht="13.5">
      <c r="A139" s="93"/>
    </row>
    <row r="140" ht="13.5">
      <c r="A140" s="93" t="s">
        <v>76</v>
      </c>
    </row>
    <row r="141" ht="13.5">
      <c r="A141" s="93" t="s">
        <v>77</v>
      </c>
    </row>
    <row r="142" ht="13.5">
      <c r="A142" s="93" t="s">
        <v>85</v>
      </c>
    </row>
    <row r="143" ht="13.5">
      <c r="A143" s="93" t="s">
        <v>78</v>
      </c>
    </row>
    <row r="144" ht="13.5">
      <c r="A144" s="93" t="s">
        <v>524</v>
      </c>
    </row>
    <row r="145" ht="12.75">
      <c r="A145" t="str">
        <f>CONCATENATE('NIDS Opticall table'!$B$85,"=",'NIDS Opticall table'!$C$85)</f>
        <v>NSCD_ENABLED=y</v>
      </c>
    </row>
    <row r="146" ht="13.5">
      <c r="A146" s="93"/>
    </row>
    <row r="147" ht="13.5">
      <c r="A147" s="130"/>
    </row>
    <row r="148" ht="13.5">
      <c r="A148" s="93" t="s">
        <v>524</v>
      </c>
    </row>
    <row r="149" ht="13.5">
      <c r="A149" s="93" t="s">
        <v>630</v>
      </c>
    </row>
    <row r="150" ht="13.5">
      <c r="A150" s="93" t="s">
        <v>6</v>
      </c>
    </row>
    <row r="151" ht="13.5">
      <c r="A151" s="93" t="s">
        <v>7</v>
      </c>
    </row>
    <row r="152" ht="13.5">
      <c r="A152" s="93" t="s">
        <v>8</v>
      </c>
    </row>
    <row r="153" ht="13.5">
      <c r="A153" s="93" t="s">
        <v>9</v>
      </c>
    </row>
    <row r="154" ht="13.5">
      <c r="A154" s="93" t="s">
        <v>631</v>
      </c>
    </row>
    <row r="155" ht="13.5">
      <c r="A155" s="93" t="s">
        <v>524</v>
      </c>
    </row>
    <row r="156" ht="13.5">
      <c r="A156" s="130" t="str">
        <f>CONCATENATE('NIDS Opticall table'!$B$8,"=",'NIDS Opticall table'!$C$8)</f>
        <v>MARKET_TYPE=CABLE</v>
      </c>
    </row>
    <row r="157" ht="13.5">
      <c r="A157" s="93"/>
    </row>
    <row r="158" ht="13.5">
      <c r="A158" s="93"/>
    </row>
    <row r="159" ht="13.5">
      <c r="A159" s="93" t="s">
        <v>524</v>
      </c>
    </row>
    <row r="160" ht="13.5">
      <c r="A160" s="93" t="s">
        <v>326</v>
      </c>
    </row>
    <row r="161" ht="13.5">
      <c r="A161" s="93" t="s">
        <v>234</v>
      </c>
    </row>
    <row r="162" ht="13.5">
      <c r="A162" s="93" t="s">
        <v>327</v>
      </c>
    </row>
    <row r="163" ht="13.5">
      <c r="A163" s="93" t="s">
        <v>235</v>
      </c>
    </row>
    <row r="164" ht="13.5">
      <c r="A164" s="93" t="s">
        <v>236</v>
      </c>
    </row>
    <row r="165" ht="13.5">
      <c r="A165" s="93" t="s">
        <v>524</v>
      </c>
    </row>
    <row r="166" ht="13.5">
      <c r="A166" s="93" t="s">
        <v>237</v>
      </c>
    </row>
    <row r="167" ht="13.5">
      <c r="A167" s="93"/>
    </row>
    <row r="168" ht="13.5">
      <c r="A168" s="130" t="str">
        <f>CONCATENATE('NIDS Opticall table'!$B$9,"=",'NIDS Opticall table'!$C$9)</f>
        <v>SS7_ENABLED=y</v>
      </c>
    </row>
    <row r="169" ht="13.5">
      <c r="A169" s="93"/>
    </row>
    <row r="170" ht="13.5">
      <c r="A170" s="93"/>
    </row>
    <row r="171" ht="13.5">
      <c r="A171" s="93" t="s">
        <v>328</v>
      </c>
    </row>
    <row r="172" ht="13.5">
      <c r="A172" s="93" t="s">
        <v>238</v>
      </c>
    </row>
    <row r="173" ht="13.5">
      <c r="A173" s="93" t="s">
        <v>239</v>
      </c>
    </row>
    <row r="174" ht="13.5">
      <c r="A174" s="93" t="s">
        <v>524</v>
      </c>
    </row>
    <row r="175" ht="13.5">
      <c r="A175" s="130" t="str">
        <f>CONCATENATE('NIDS Opticall table'!$B$10,"=",'NIDS Opticall table'!$C$10)</f>
        <v>IPSEC_ENABLED=n</v>
      </c>
    </row>
    <row r="176" ht="13.5">
      <c r="A176" s="93"/>
    </row>
    <row r="177" ht="13.5">
      <c r="A177" s="93"/>
    </row>
    <row r="178" ht="13.5">
      <c r="A178" s="93" t="s">
        <v>524</v>
      </c>
    </row>
    <row r="179" ht="13.5">
      <c r="A179" s="93" t="s">
        <v>246</v>
      </c>
    </row>
    <row r="180" ht="13.5">
      <c r="A180" s="93" t="s">
        <v>247</v>
      </c>
    </row>
    <row r="181" ht="13.5">
      <c r="A181" s="93" t="s">
        <v>248</v>
      </c>
    </row>
    <row r="182" ht="13.5">
      <c r="A182" s="93" t="s">
        <v>249</v>
      </c>
    </row>
    <row r="183" ht="13.5">
      <c r="A183" s="93" t="s">
        <v>250</v>
      </c>
    </row>
    <row r="184" ht="13.5">
      <c r="A184" s="93" t="s">
        <v>251</v>
      </c>
    </row>
    <row r="185" ht="13.5">
      <c r="A185" s="93" t="s">
        <v>252</v>
      </c>
    </row>
    <row r="186" ht="13.5">
      <c r="A186" s="93" t="s">
        <v>253</v>
      </c>
    </row>
    <row r="187" ht="13.5">
      <c r="A187" s="93" t="s">
        <v>254</v>
      </c>
    </row>
    <row r="188" ht="13.5">
      <c r="A188" s="93" t="s">
        <v>255</v>
      </c>
    </row>
    <row r="189" ht="13.5">
      <c r="A189" s="93" t="s">
        <v>256</v>
      </c>
    </row>
    <row r="190" ht="13.5">
      <c r="A190" s="93" t="s">
        <v>257</v>
      </c>
    </row>
    <row r="191" ht="13.5">
      <c r="A191" s="93" t="s">
        <v>258</v>
      </c>
    </row>
    <row r="192" ht="13.5">
      <c r="A192" s="93" t="s">
        <v>259</v>
      </c>
    </row>
    <row r="193" ht="13.5">
      <c r="A193" s="93" t="s">
        <v>260</v>
      </c>
    </row>
    <row r="194" ht="13.5">
      <c r="A194" s="93" t="s">
        <v>524</v>
      </c>
    </row>
    <row r="195" ht="13.5">
      <c r="A195" s="130" t="str">
        <f>CONCATENATE('NIDS Opticall table'!$B$11,"=",'NIDS Opticall table'!$C$11)</f>
        <v>MEM_CFG_SELECTION=medium</v>
      </c>
    </row>
    <row r="196" ht="13.5">
      <c r="A196" s="93"/>
    </row>
    <row r="197" ht="13.5">
      <c r="A197" s="93"/>
    </row>
    <row r="198" ht="13.5">
      <c r="A198" s="93" t="s">
        <v>241</v>
      </c>
    </row>
    <row r="199" ht="13.5">
      <c r="A199" s="93" t="s">
        <v>242</v>
      </c>
    </row>
    <row r="200" ht="13.5">
      <c r="A200" s="93" t="s">
        <v>243</v>
      </c>
    </row>
    <row r="201" ht="13.5">
      <c r="A201" s="93" t="s">
        <v>524</v>
      </c>
    </row>
    <row r="202" ht="13.5">
      <c r="A202" s="130" t="str">
        <f>CONCATENATE('NIDS Opticall table'!$B$12,"=",'NIDS Opticall table'!$C$12)</f>
        <v>CONFIGURATION=1</v>
      </c>
    </row>
    <row r="203" ht="13.5">
      <c r="A203" s="93"/>
    </row>
    <row r="204" ht="13.5">
      <c r="A204" s="93"/>
    </row>
    <row r="205" ht="13.5">
      <c r="A205" s="93" t="s">
        <v>244</v>
      </c>
    </row>
    <row r="206" ht="13.5">
      <c r="A206" s="93" t="s">
        <v>245</v>
      </c>
    </row>
    <row r="207" ht="13.5">
      <c r="A207" s="93" t="s">
        <v>15</v>
      </c>
    </row>
    <row r="208" ht="13.5">
      <c r="A208" s="93" t="s">
        <v>329</v>
      </c>
    </row>
    <row r="209" ht="13.5">
      <c r="A209" s="93" t="s">
        <v>330</v>
      </c>
    </row>
    <row r="210" ht="13.5">
      <c r="A210" s="93" t="s">
        <v>265</v>
      </c>
    </row>
    <row r="211" ht="13.5">
      <c r="A211" s="93" t="s">
        <v>16</v>
      </c>
    </row>
    <row r="212" ht="13.5">
      <c r="A212" s="93" t="s">
        <v>524</v>
      </c>
    </row>
    <row r="213" ht="13.5">
      <c r="A213" s="130" t="str">
        <f>CONCATENATE('NIDS Opticall table'!$B$13,"=",'NIDS Opticall table'!$C$13)</f>
        <v>SGW_OPTION=SUA</v>
      </c>
    </row>
    <row r="214" ht="13.5">
      <c r="A214" s="93"/>
    </row>
    <row r="215" ht="13.5">
      <c r="A215" s="93"/>
    </row>
    <row r="216" ht="13.5">
      <c r="A216" s="93" t="s">
        <v>186</v>
      </c>
    </row>
    <row r="217" ht="13.5">
      <c r="A217" s="93" t="s">
        <v>187</v>
      </c>
    </row>
    <row r="218" ht="13.5">
      <c r="A218" s="93" t="s">
        <v>188</v>
      </c>
    </row>
    <row r="219" ht="13.5">
      <c r="A219" s="93" t="s">
        <v>189</v>
      </c>
    </row>
    <row r="220" ht="13.5">
      <c r="A220" s="93" t="s">
        <v>331</v>
      </c>
    </row>
    <row r="221" ht="13.5">
      <c r="A221" s="93" t="s">
        <v>524</v>
      </c>
    </row>
    <row r="222" ht="13.5">
      <c r="A222" s="130" t="str">
        <f>CONCATENATE('NIDS Opticall table'!$B$14,"=",'NIDS Opticall table'!$C$14)</f>
        <v>BROKER_DNS_FOR_PMG_IN_EMS=brokerems-MAIN-ST.name.cisco.com</v>
      </c>
    </row>
    <row r="223" ht="13.5">
      <c r="A223" s="130" t="str">
        <f>CONCATENATE('NIDS Opticall table'!$B$15,"=",'NIDS Opticall table'!$C$15)</f>
        <v>BROKER_DNS_FOR_PMG_IN_CA=broker-MAIN-ST.name.cisco.com</v>
      </c>
    </row>
    <row r="224" ht="13.5">
      <c r="A224" s="130"/>
    </row>
    <row r="225" ht="13.5">
      <c r="A225" s="130" t="s">
        <v>721</v>
      </c>
    </row>
    <row r="226" ht="13.5">
      <c r="A226" s="130" t="s">
        <v>722</v>
      </c>
    </row>
    <row r="227" ht="13.5">
      <c r="A227" s="130" t="s">
        <v>723</v>
      </c>
    </row>
    <row r="228" ht="13.5">
      <c r="A228" s="130" t="s">
        <v>724</v>
      </c>
    </row>
    <row r="229" ht="13.5">
      <c r="A229" s="130" t="s">
        <v>725</v>
      </c>
    </row>
    <row r="230" ht="13.5">
      <c r="A230" s="130" t="s">
        <v>726</v>
      </c>
    </row>
    <row r="231" ht="13.5">
      <c r="A231" s="130" t="s">
        <v>727</v>
      </c>
    </row>
    <row r="232" ht="13.5">
      <c r="A232" s="130" t="s">
        <v>524</v>
      </c>
    </row>
    <row r="233" ht="13.5">
      <c r="A233" s="130" t="str">
        <f>CONCATENATE("NTP_SERVERS","=","""",'NIDS Opticall table'!$C$16," ",'NIDS Opticall table'!$C$17,"""")</f>
        <v>NTP_SERVERS="10.89.225.2 10.89.224.2"</v>
      </c>
    </row>
    <row r="234" ht="13.5">
      <c r="A234" s="130"/>
    </row>
    <row r="235" ht="13.5">
      <c r="A235" s="92" t="s">
        <v>46</v>
      </c>
    </row>
    <row r="236" ht="13.5">
      <c r="A236" s="92" t="s">
        <v>47</v>
      </c>
    </row>
    <row r="237" ht="13.5">
      <c r="A237" s="92" t="s">
        <v>48</v>
      </c>
    </row>
    <row r="238" ht="13.5">
      <c r="A238" s="92" t="s">
        <v>49</v>
      </c>
    </row>
    <row r="239" ht="13.5">
      <c r="A239" s="92" t="s">
        <v>50</v>
      </c>
    </row>
    <row r="240" ht="13.5">
      <c r="A240" s="92" t="s">
        <v>66</v>
      </c>
    </row>
    <row r="241" ht="13.5">
      <c r="A241" s="92" t="s">
        <v>51</v>
      </c>
    </row>
    <row r="242" ht="13.5">
      <c r="A242" s="92" t="s">
        <v>524</v>
      </c>
    </row>
    <row r="243" ht="13.5">
      <c r="A243" s="93"/>
    </row>
    <row r="244" ht="12.75">
      <c r="A244" t="str">
        <f>CONCATENATE('NIDS Opticall table'!$B$80,"=",IF('NIDS Data Entry + Netwk tables'!$C$182="y",'NIDS Opticall table'!$C$80,""""""))</f>
        <v>CA146_LAF_PARAMETER="logStorage /archive/BTS1-CA 20"</v>
      </c>
    </row>
    <row r="245" ht="12.75">
      <c r="A245" t="str">
        <f>CONCATENATE('NIDS Opticall table'!$B$81,"=",IF('NIDS Data Entry + Netwk tables'!$C$182="y",'NIDS Opticall table'!$C$81,""""""))</f>
        <v>FSPTC235_LAF_PARAMETER="logStorage /archive/BTS1-FSPTC 20"</v>
      </c>
    </row>
    <row r="246" ht="12.75">
      <c r="A246" t="str">
        <f>CONCATENATE('NIDS Opticall table'!$B$82,"=",IF('NIDS Data Entry + Netwk tables'!$C$182="y",'NIDS Opticall table'!$C$82,""""""))</f>
        <v>FSAIN205_LAF_PARAMETER="logStorage /archive/BTS1-FSAIN 20"</v>
      </c>
    </row>
    <row r="247" ht="12.75">
      <c r="A247" t="str">
        <f>CONCATENATE('NIDS Opticall table'!$B$83,"=",IF('NIDS Data Entry + Netwk tables'!$C$182="y",'NIDS Opticall table'!$C$83,""""""))</f>
        <v>EMS_LAF_PARAMETER="logStorage /archive/BTS1-EMS 20"</v>
      </c>
    </row>
    <row r="248" ht="12.75">
      <c r="A248" t="str">
        <f>CONCATENATE('NIDS Opticall table'!$B$84,"=",IF('NIDS Data Entry + Netwk tables'!$C$182="y",'NIDS Opticall table'!$C$84,""""""))</f>
        <v>BDMS_LAF_PARAMETER="logStorage /archive/BTS1-BDMS 20"</v>
      </c>
    </row>
    <row r="249" ht="13.5">
      <c r="A249" s="93"/>
    </row>
    <row r="250" ht="13.5">
      <c r="A250" s="93" t="s">
        <v>659</v>
      </c>
    </row>
    <row r="251" ht="13.5">
      <c r="A251" s="93" t="s">
        <v>660</v>
      </c>
    </row>
    <row r="252" ht="13.5">
      <c r="A252" s="93" t="s">
        <v>661</v>
      </c>
    </row>
    <row r="253" ht="13.5">
      <c r="A253" s="93" t="s">
        <v>662</v>
      </c>
    </row>
    <row r="254" ht="13.5">
      <c r="A254" s="93" t="s">
        <v>663</v>
      </c>
    </row>
    <row r="255" ht="13.5">
      <c r="A255" s="93" t="s">
        <v>664</v>
      </c>
    </row>
    <row r="256" ht="13.5">
      <c r="A256" s="93" t="s">
        <v>665</v>
      </c>
    </row>
    <row r="257" ht="13.5">
      <c r="A257" s="93" t="s">
        <v>524</v>
      </c>
    </row>
    <row r="258" ht="13.5">
      <c r="A258" s="93" t="s">
        <v>672</v>
      </c>
    </row>
    <row r="259" ht="13.5">
      <c r="A259" s="93" t="s">
        <v>671</v>
      </c>
    </row>
    <row r="260" ht="13.5">
      <c r="A260" s="93" t="s">
        <v>666</v>
      </c>
    </row>
    <row r="261" ht="13.5">
      <c r="A261" s="93" t="s">
        <v>667</v>
      </c>
    </row>
    <row r="262" ht="13.5">
      <c r="A262" s="93" t="s">
        <v>668</v>
      </c>
    </row>
    <row r="263" ht="13.5">
      <c r="A263" s="93" t="s">
        <v>669</v>
      </c>
    </row>
    <row r="264" ht="13.5">
      <c r="A264" s="93" t="s">
        <v>670</v>
      </c>
    </row>
    <row r="265" ht="13.5">
      <c r="A265" s="93" t="s">
        <v>676</v>
      </c>
    </row>
    <row r="266" ht="13.5">
      <c r="A266" s="93" t="s">
        <v>677</v>
      </c>
    </row>
    <row r="267" ht="13.5">
      <c r="A267" s="93" t="s">
        <v>678</v>
      </c>
    </row>
    <row r="268" ht="13.5">
      <c r="A268" s="93" t="s">
        <v>675</v>
      </c>
    </row>
    <row r="269" ht="13.5">
      <c r="A269" s="93" t="s">
        <v>679</v>
      </c>
    </row>
    <row r="270" ht="13.5">
      <c r="A270" s="93" t="s">
        <v>680</v>
      </c>
    </row>
    <row r="271" ht="13.5">
      <c r="A271" s="93" t="s">
        <v>681</v>
      </c>
    </row>
    <row r="272" ht="13.5">
      <c r="A272" s="93" t="s">
        <v>524</v>
      </c>
    </row>
    <row r="273" ht="13.5">
      <c r="A273" s="93" t="str">
        <f>CONCATENATE('NIDS Opticall table'!$B$86,"=")</f>
        <v>BILLING_FILENAME_TYPE=</v>
      </c>
    </row>
    <row r="274" ht="13.5">
      <c r="A274" s="93" t="str">
        <f>CONCATENATE('NIDS Opticall table'!$B$87,"=",'NIDS Opticall table'!$C$87)</f>
        <v>BILLING_FD_TYPE=semicolon</v>
      </c>
    </row>
    <row r="275" spans="1:256" ht="13.5">
      <c r="A275" s="93" t="str">
        <f>CONCATENATE('NIDS Opticall table'!$B$88,"=",'NIDS Opticall table'!$C$88)</f>
        <v>BILLING_RD_TYPE=verticalbar</v>
      </c>
      <c r="B275" s="93" t="s">
        <v>682</v>
      </c>
      <c r="C275" s="93" t="s">
        <v>682</v>
      </c>
      <c r="D275" s="93" t="s">
        <v>682</v>
      </c>
      <c r="E275" s="93" t="s">
        <v>682</v>
      </c>
      <c r="F275" s="93" t="s">
        <v>682</v>
      </c>
      <c r="G275" s="93" t="s">
        <v>682</v>
      </c>
      <c r="H275" s="93" t="s">
        <v>682</v>
      </c>
      <c r="I275" s="93" t="s">
        <v>682</v>
      </c>
      <c r="J275" s="93" t="s">
        <v>682</v>
      </c>
      <c r="K275" s="93" t="s">
        <v>682</v>
      </c>
      <c r="L275" s="93" t="s">
        <v>682</v>
      </c>
      <c r="M275" s="93" t="s">
        <v>682</v>
      </c>
      <c r="N275" s="93" t="s">
        <v>682</v>
      </c>
      <c r="O275" s="93" t="s">
        <v>682</v>
      </c>
      <c r="P275" s="93" t="s">
        <v>682</v>
      </c>
      <c r="Q275" s="93" t="s">
        <v>682</v>
      </c>
      <c r="R275" s="93" t="s">
        <v>682</v>
      </c>
      <c r="S275" s="93" t="s">
        <v>682</v>
      </c>
      <c r="T275" s="93" t="s">
        <v>682</v>
      </c>
      <c r="U275" s="93" t="s">
        <v>682</v>
      </c>
      <c r="V275" s="93" t="s">
        <v>682</v>
      </c>
      <c r="W275" s="93" t="s">
        <v>682</v>
      </c>
      <c r="X275" s="93" t="s">
        <v>682</v>
      </c>
      <c r="Y275" s="93" t="s">
        <v>682</v>
      </c>
      <c r="Z275" s="93" t="s">
        <v>682</v>
      </c>
      <c r="AA275" s="93" t="s">
        <v>682</v>
      </c>
      <c r="AB275" s="93" t="s">
        <v>682</v>
      </c>
      <c r="AC275" s="93" t="s">
        <v>682</v>
      </c>
      <c r="AD275" s="93" t="s">
        <v>682</v>
      </c>
      <c r="AE275" s="93" t="s">
        <v>682</v>
      </c>
      <c r="AF275" s="93" t="s">
        <v>682</v>
      </c>
      <c r="AG275" s="93" t="s">
        <v>682</v>
      </c>
      <c r="AH275" s="93" t="s">
        <v>682</v>
      </c>
      <c r="AI275" s="93" t="s">
        <v>682</v>
      </c>
      <c r="AJ275" s="93" t="s">
        <v>682</v>
      </c>
      <c r="AK275" s="93" t="s">
        <v>682</v>
      </c>
      <c r="AL275" s="93" t="s">
        <v>682</v>
      </c>
      <c r="AM275" s="93" t="s">
        <v>682</v>
      </c>
      <c r="AN275" s="93" t="s">
        <v>682</v>
      </c>
      <c r="AO275" s="93" t="s">
        <v>682</v>
      </c>
      <c r="AP275" s="93" t="s">
        <v>682</v>
      </c>
      <c r="AQ275" s="93" t="s">
        <v>682</v>
      </c>
      <c r="AR275" s="93" t="s">
        <v>682</v>
      </c>
      <c r="AS275" s="93" t="s">
        <v>682</v>
      </c>
      <c r="AT275" s="93" t="s">
        <v>682</v>
      </c>
      <c r="AU275" s="93" t="s">
        <v>682</v>
      </c>
      <c r="AV275" s="93" t="s">
        <v>682</v>
      </c>
      <c r="AW275" s="93" t="s">
        <v>682</v>
      </c>
      <c r="AX275" s="93" t="s">
        <v>682</v>
      </c>
      <c r="AY275" s="93" t="s">
        <v>682</v>
      </c>
      <c r="AZ275" s="93" t="s">
        <v>682</v>
      </c>
      <c r="BA275" s="93" t="s">
        <v>682</v>
      </c>
      <c r="BB275" s="93" t="s">
        <v>682</v>
      </c>
      <c r="BC275" s="93" t="s">
        <v>682</v>
      </c>
      <c r="BD275" s="93" t="s">
        <v>682</v>
      </c>
      <c r="BE275" s="93" t="s">
        <v>682</v>
      </c>
      <c r="BF275" s="93" t="s">
        <v>682</v>
      </c>
      <c r="BG275" s="93" t="s">
        <v>682</v>
      </c>
      <c r="BH275" s="93" t="s">
        <v>682</v>
      </c>
      <c r="BI275" s="93" t="s">
        <v>682</v>
      </c>
      <c r="BJ275" s="93" t="s">
        <v>682</v>
      </c>
      <c r="BK275" s="93" t="s">
        <v>682</v>
      </c>
      <c r="BL275" s="93" t="s">
        <v>682</v>
      </c>
      <c r="BM275" s="93" t="s">
        <v>682</v>
      </c>
      <c r="BN275" s="93" t="s">
        <v>682</v>
      </c>
      <c r="BO275" s="93" t="s">
        <v>682</v>
      </c>
      <c r="BP275" s="93" t="s">
        <v>682</v>
      </c>
      <c r="BQ275" s="93" t="s">
        <v>682</v>
      </c>
      <c r="BR275" s="93" t="s">
        <v>682</v>
      </c>
      <c r="BS275" s="93" t="s">
        <v>682</v>
      </c>
      <c r="BT275" s="93" t="s">
        <v>682</v>
      </c>
      <c r="BU275" s="93" t="s">
        <v>682</v>
      </c>
      <c r="BV275" s="93" t="s">
        <v>682</v>
      </c>
      <c r="BW275" s="93" t="s">
        <v>682</v>
      </c>
      <c r="BX275" s="93" t="s">
        <v>682</v>
      </c>
      <c r="BY275" s="93" t="s">
        <v>682</v>
      </c>
      <c r="BZ275" s="93" t="s">
        <v>682</v>
      </c>
      <c r="CA275" s="93" t="s">
        <v>682</v>
      </c>
      <c r="CB275" s="93" t="s">
        <v>682</v>
      </c>
      <c r="CC275" s="93" t="s">
        <v>682</v>
      </c>
      <c r="CD275" s="93" t="s">
        <v>682</v>
      </c>
      <c r="CE275" s="93" t="s">
        <v>682</v>
      </c>
      <c r="CF275" s="93" t="s">
        <v>682</v>
      </c>
      <c r="CG275" s="93" t="s">
        <v>682</v>
      </c>
      <c r="CH275" s="93" t="s">
        <v>682</v>
      </c>
      <c r="CI275" s="93" t="s">
        <v>682</v>
      </c>
      <c r="CJ275" s="93" t="s">
        <v>682</v>
      </c>
      <c r="CK275" s="93" t="s">
        <v>682</v>
      </c>
      <c r="CL275" s="93" t="s">
        <v>682</v>
      </c>
      <c r="CM275" s="93" t="s">
        <v>682</v>
      </c>
      <c r="CN275" s="93" t="s">
        <v>682</v>
      </c>
      <c r="CO275" s="93" t="s">
        <v>682</v>
      </c>
      <c r="CP275" s="93" t="s">
        <v>682</v>
      </c>
      <c r="CQ275" s="93" t="s">
        <v>682</v>
      </c>
      <c r="CR275" s="93" t="s">
        <v>682</v>
      </c>
      <c r="CS275" s="93" t="s">
        <v>682</v>
      </c>
      <c r="CT275" s="93" t="s">
        <v>682</v>
      </c>
      <c r="CU275" s="93" t="s">
        <v>682</v>
      </c>
      <c r="CV275" s="93" t="s">
        <v>682</v>
      </c>
      <c r="CW275" s="93" t="s">
        <v>682</v>
      </c>
      <c r="CX275" s="93" t="s">
        <v>682</v>
      </c>
      <c r="CY275" s="93" t="s">
        <v>682</v>
      </c>
      <c r="CZ275" s="93" t="s">
        <v>682</v>
      </c>
      <c r="DA275" s="93" t="s">
        <v>682</v>
      </c>
      <c r="DB275" s="93" t="s">
        <v>682</v>
      </c>
      <c r="DC275" s="93" t="s">
        <v>682</v>
      </c>
      <c r="DD275" s="93" t="s">
        <v>682</v>
      </c>
      <c r="DE275" s="93" t="s">
        <v>682</v>
      </c>
      <c r="DF275" s="93" t="s">
        <v>682</v>
      </c>
      <c r="DG275" s="93" t="s">
        <v>682</v>
      </c>
      <c r="DH275" s="93" t="s">
        <v>682</v>
      </c>
      <c r="DI275" s="93" t="s">
        <v>682</v>
      </c>
      <c r="DJ275" s="93" t="s">
        <v>682</v>
      </c>
      <c r="DK275" s="93" t="s">
        <v>682</v>
      </c>
      <c r="DL275" s="93" t="s">
        <v>682</v>
      </c>
      <c r="DM275" s="93" t="s">
        <v>682</v>
      </c>
      <c r="DN275" s="93" t="s">
        <v>682</v>
      </c>
      <c r="DO275" s="93" t="s">
        <v>682</v>
      </c>
      <c r="DP275" s="93" t="s">
        <v>682</v>
      </c>
      <c r="DQ275" s="93" t="s">
        <v>682</v>
      </c>
      <c r="DR275" s="93" t="s">
        <v>682</v>
      </c>
      <c r="DS275" s="93" t="s">
        <v>682</v>
      </c>
      <c r="DT275" s="93" t="s">
        <v>682</v>
      </c>
      <c r="DU275" s="93" t="s">
        <v>682</v>
      </c>
      <c r="DV275" s="93" t="s">
        <v>682</v>
      </c>
      <c r="DW275" s="93" t="s">
        <v>682</v>
      </c>
      <c r="DX275" s="93" t="s">
        <v>682</v>
      </c>
      <c r="DY275" s="93" t="s">
        <v>682</v>
      </c>
      <c r="DZ275" s="93" t="s">
        <v>682</v>
      </c>
      <c r="EA275" s="93" t="s">
        <v>682</v>
      </c>
      <c r="EB275" s="93" t="s">
        <v>682</v>
      </c>
      <c r="EC275" s="93" t="s">
        <v>682</v>
      </c>
      <c r="ED275" s="93" t="s">
        <v>682</v>
      </c>
      <c r="EE275" s="93" t="s">
        <v>682</v>
      </c>
      <c r="EF275" s="93" t="s">
        <v>682</v>
      </c>
      <c r="EG275" s="93" t="s">
        <v>682</v>
      </c>
      <c r="EH275" s="93" t="s">
        <v>682</v>
      </c>
      <c r="EI275" s="93" t="s">
        <v>682</v>
      </c>
      <c r="EJ275" s="93" t="s">
        <v>682</v>
      </c>
      <c r="EK275" s="93" t="s">
        <v>682</v>
      </c>
      <c r="EL275" s="93" t="s">
        <v>682</v>
      </c>
      <c r="EM275" s="93" t="s">
        <v>682</v>
      </c>
      <c r="EN275" s="93" t="s">
        <v>682</v>
      </c>
      <c r="EO275" s="93" t="s">
        <v>682</v>
      </c>
      <c r="EP275" s="93" t="s">
        <v>682</v>
      </c>
      <c r="EQ275" s="93" t="s">
        <v>682</v>
      </c>
      <c r="ER275" s="93" t="s">
        <v>682</v>
      </c>
      <c r="ES275" s="93" t="s">
        <v>682</v>
      </c>
      <c r="ET275" s="93" t="s">
        <v>682</v>
      </c>
      <c r="EU275" s="93" t="s">
        <v>682</v>
      </c>
      <c r="EV275" s="93" t="s">
        <v>682</v>
      </c>
      <c r="EW275" s="93" t="s">
        <v>682</v>
      </c>
      <c r="EX275" s="93" t="s">
        <v>682</v>
      </c>
      <c r="EY275" s="93" t="s">
        <v>682</v>
      </c>
      <c r="EZ275" s="93" t="s">
        <v>682</v>
      </c>
      <c r="FA275" s="93" t="s">
        <v>682</v>
      </c>
      <c r="FB275" s="93" t="s">
        <v>682</v>
      </c>
      <c r="FC275" s="93" t="s">
        <v>682</v>
      </c>
      <c r="FD275" s="93" t="s">
        <v>682</v>
      </c>
      <c r="FE275" s="93" t="s">
        <v>682</v>
      </c>
      <c r="FF275" s="93" t="s">
        <v>682</v>
      </c>
      <c r="FG275" s="93" t="s">
        <v>682</v>
      </c>
      <c r="FH275" s="93" t="s">
        <v>682</v>
      </c>
      <c r="FI275" s="93" t="s">
        <v>682</v>
      </c>
      <c r="FJ275" s="93" t="s">
        <v>682</v>
      </c>
      <c r="FK275" s="93" t="s">
        <v>682</v>
      </c>
      <c r="FL275" s="93" t="s">
        <v>682</v>
      </c>
      <c r="FM275" s="93" t="s">
        <v>682</v>
      </c>
      <c r="FN275" s="93" t="s">
        <v>682</v>
      </c>
      <c r="FO275" s="93" t="s">
        <v>682</v>
      </c>
      <c r="FP275" s="93" t="s">
        <v>682</v>
      </c>
      <c r="FQ275" s="93" t="s">
        <v>682</v>
      </c>
      <c r="FR275" s="93" t="s">
        <v>682</v>
      </c>
      <c r="FS275" s="93" t="s">
        <v>682</v>
      </c>
      <c r="FT275" s="93" t="s">
        <v>682</v>
      </c>
      <c r="FU275" s="93" t="s">
        <v>682</v>
      </c>
      <c r="FV275" s="93" t="s">
        <v>682</v>
      </c>
      <c r="FW275" s="93" t="s">
        <v>682</v>
      </c>
      <c r="FX275" s="93" t="s">
        <v>682</v>
      </c>
      <c r="FY275" s="93" t="s">
        <v>682</v>
      </c>
      <c r="FZ275" s="93" t="s">
        <v>682</v>
      </c>
      <c r="GA275" s="93" t="s">
        <v>682</v>
      </c>
      <c r="GB275" s="93" t="s">
        <v>682</v>
      </c>
      <c r="GC275" s="93" t="s">
        <v>682</v>
      </c>
      <c r="GD275" s="93" t="s">
        <v>682</v>
      </c>
      <c r="GE275" s="93" t="s">
        <v>682</v>
      </c>
      <c r="GF275" s="93" t="s">
        <v>682</v>
      </c>
      <c r="GG275" s="93" t="s">
        <v>682</v>
      </c>
      <c r="GH275" s="93" t="s">
        <v>682</v>
      </c>
      <c r="GI275" s="93" t="s">
        <v>682</v>
      </c>
      <c r="GJ275" s="93" t="s">
        <v>682</v>
      </c>
      <c r="GK275" s="93" t="s">
        <v>682</v>
      </c>
      <c r="GL275" s="93" t="s">
        <v>682</v>
      </c>
      <c r="GM275" s="93" t="s">
        <v>682</v>
      </c>
      <c r="GN275" s="93" t="s">
        <v>682</v>
      </c>
      <c r="GO275" s="93" t="s">
        <v>682</v>
      </c>
      <c r="GP275" s="93" t="s">
        <v>682</v>
      </c>
      <c r="GQ275" s="93" t="s">
        <v>682</v>
      </c>
      <c r="GR275" s="93" t="s">
        <v>682</v>
      </c>
      <c r="GS275" s="93" t="s">
        <v>682</v>
      </c>
      <c r="GT275" s="93" t="s">
        <v>682</v>
      </c>
      <c r="GU275" s="93" t="s">
        <v>682</v>
      </c>
      <c r="GV275" s="93" t="s">
        <v>682</v>
      </c>
      <c r="GW275" s="93" t="s">
        <v>682</v>
      </c>
      <c r="GX275" s="93" t="s">
        <v>682</v>
      </c>
      <c r="GY275" s="93" t="s">
        <v>682</v>
      </c>
      <c r="GZ275" s="93" t="s">
        <v>682</v>
      </c>
      <c r="HA275" s="93" t="s">
        <v>682</v>
      </c>
      <c r="HB275" s="93" t="s">
        <v>682</v>
      </c>
      <c r="HC275" s="93" t="s">
        <v>682</v>
      </c>
      <c r="HD275" s="93" t="s">
        <v>682</v>
      </c>
      <c r="HE275" s="93" t="s">
        <v>682</v>
      </c>
      <c r="HF275" s="93" t="s">
        <v>682</v>
      </c>
      <c r="HG275" s="93" t="s">
        <v>682</v>
      </c>
      <c r="HH275" s="93" t="s">
        <v>682</v>
      </c>
      <c r="HI275" s="93" t="s">
        <v>682</v>
      </c>
      <c r="HJ275" s="93" t="s">
        <v>682</v>
      </c>
      <c r="HK275" s="93" t="s">
        <v>682</v>
      </c>
      <c r="HL275" s="93" t="s">
        <v>682</v>
      </c>
      <c r="HM275" s="93" t="s">
        <v>682</v>
      </c>
      <c r="HN275" s="93" t="s">
        <v>682</v>
      </c>
      <c r="HO275" s="93" t="s">
        <v>682</v>
      </c>
      <c r="HP275" s="93" t="s">
        <v>682</v>
      </c>
      <c r="HQ275" s="93" t="s">
        <v>682</v>
      </c>
      <c r="HR275" s="93" t="s">
        <v>682</v>
      </c>
      <c r="HS275" s="93" t="s">
        <v>682</v>
      </c>
      <c r="HT275" s="93" t="s">
        <v>682</v>
      </c>
      <c r="HU275" s="93" t="s">
        <v>682</v>
      </c>
      <c r="HV275" s="93" t="s">
        <v>682</v>
      </c>
      <c r="HW275" s="93" t="s">
        <v>682</v>
      </c>
      <c r="HX275" s="93" t="s">
        <v>682</v>
      </c>
      <c r="HY275" s="93" t="s">
        <v>682</v>
      </c>
      <c r="HZ275" s="93" t="s">
        <v>682</v>
      </c>
      <c r="IA275" s="93" t="s">
        <v>682</v>
      </c>
      <c r="IB275" s="93" t="s">
        <v>682</v>
      </c>
      <c r="IC275" s="93" t="s">
        <v>682</v>
      </c>
      <c r="ID275" s="93" t="s">
        <v>682</v>
      </c>
      <c r="IE275" s="93" t="s">
        <v>682</v>
      </c>
      <c r="IF275" s="93" t="s">
        <v>682</v>
      </c>
      <c r="IG275" s="93" t="s">
        <v>682</v>
      </c>
      <c r="IH275" s="93" t="s">
        <v>682</v>
      </c>
      <c r="II275" s="93" t="s">
        <v>682</v>
      </c>
      <c r="IJ275" s="93" t="s">
        <v>682</v>
      </c>
      <c r="IK275" s="93" t="s">
        <v>682</v>
      </c>
      <c r="IL275" s="93" t="s">
        <v>682</v>
      </c>
      <c r="IM275" s="93" t="s">
        <v>682</v>
      </c>
      <c r="IN275" s="93" t="s">
        <v>682</v>
      </c>
      <c r="IO275" s="93" t="s">
        <v>682</v>
      </c>
      <c r="IP275" s="93" t="s">
        <v>682</v>
      </c>
      <c r="IQ275" s="93" t="s">
        <v>682</v>
      </c>
      <c r="IR275" s="93" t="s">
        <v>682</v>
      </c>
      <c r="IS275" s="93" t="s">
        <v>682</v>
      </c>
      <c r="IT275" s="93" t="s">
        <v>682</v>
      </c>
      <c r="IU275" s="93" t="s">
        <v>682</v>
      </c>
      <c r="IV275" s="93" t="s">
        <v>682</v>
      </c>
    </row>
    <row r="276" ht="13.5">
      <c r="A276" s="93"/>
    </row>
    <row r="277" ht="13.5">
      <c r="A277" s="130"/>
    </row>
    <row r="278" ht="13.5">
      <c r="A278" s="93" t="s">
        <v>266</v>
      </c>
    </row>
    <row r="279" ht="13.5">
      <c r="A279" s="93" t="s">
        <v>227</v>
      </c>
    </row>
    <row r="280" ht="13.5">
      <c r="A280" s="93"/>
    </row>
    <row r="281" ht="13.5">
      <c r="A281" s="93"/>
    </row>
    <row r="282" ht="13.5">
      <c r="A282" s="93" t="s">
        <v>267</v>
      </c>
    </row>
    <row r="283" ht="13.5">
      <c r="A283" s="93" t="s">
        <v>524</v>
      </c>
    </row>
    <row r="284" ht="13.5">
      <c r="A284" s="93" t="s">
        <v>332</v>
      </c>
    </row>
    <row r="285" ht="13.5">
      <c r="A285" s="93" t="s">
        <v>333</v>
      </c>
    </row>
    <row r="286" ht="13.5">
      <c r="A286" s="93" t="s">
        <v>334</v>
      </c>
    </row>
    <row r="287" ht="13.5">
      <c r="A287" s="93" t="s">
        <v>268</v>
      </c>
    </row>
    <row r="288" ht="13.5">
      <c r="A288" s="93" t="s">
        <v>524</v>
      </c>
    </row>
    <row r="289" ht="13.5">
      <c r="A289" s="93" t="s">
        <v>269</v>
      </c>
    </row>
    <row r="290" ht="13.5">
      <c r="A290" s="93" t="s">
        <v>270</v>
      </c>
    </row>
    <row r="291" ht="13.5">
      <c r="A291" s="93" t="s">
        <v>271</v>
      </c>
    </row>
    <row r="292" ht="13.5">
      <c r="A292" s="93" t="s">
        <v>272</v>
      </c>
    </row>
    <row r="293" ht="13.5">
      <c r="A293" s="93" t="s">
        <v>273</v>
      </c>
    </row>
    <row r="294" ht="13.5">
      <c r="A294" s="93" t="s">
        <v>274</v>
      </c>
    </row>
    <row r="295" ht="13.5">
      <c r="A295" s="93" t="s">
        <v>275</v>
      </c>
    </row>
    <row r="296" ht="13.5">
      <c r="A296" s="93" t="s">
        <v>276</v>
      </c>
    </row>
    <row r="297" ht="13.5">
      <c r="A297" s="93" t="s">
        <v>277</v>
      </c>
    </row>
    <row r="298" ht="13.5">
      <c r="A298" s="93" t="s">
        <v>524</v>
      </c>
    </row>
    <row r="299" ht="13.5">
      <c r="A299" s="93" t="s">
        <v>278</v>
      </c>
    </row>
    <row r="300" ht="13.5">
      <c r="A300" s="93" t="s">
        <v>270</v>
      </c>
    </row>
    <row r="301" ht="13.5">
      <c r="A301" s="93" t="s">
        <v>279</v>
      </c>
    </row>
    <row r="302" ht="13.5">
      <c r="A302" s="93" t="s">
        <v>272</v>
      </c>
    </row>
    <row r="303" ht="13.5">
      <c r="A303" s="93" t="s">
        <v>280</v>
      </c>
    </row>
    <row r="304" ht="13.5">
      <c r="A304" s="93" t="s">
        <v>274</v>
      </c>
    </row>
    <row r="305" ht="13.5">
      <c r="A305" s="93" t="s">
        <v>281</v>
      </c>
    </row>
    <row r="306" ht="13.5">
      <c r="A306" s="93" t="s">
        <v>276</v>
      </c>
    </row>
    <row r="307" spans="1:2" ht="13.5">
      <c r="A307" s="93" t="s">
        <v>335</v>
      </c>
      <c r="B307" s="69" t="s">
        <v>17</v>
      </c>
    </row>
    <row r="308" spans="1:3" ht="13.5">
      <c r="A308" s="93" t="s">
        <v>524</v>
      </c>
      <c r="C308" s="69" t="s">
        <v>18</v>
      </c>
    </row>
    <row r="309" ht="12.75">
      <c r="A309" t="str">
        <f>CONCATENATE('NIDS Opticall table'!$B$18,"=",'NIDS Opticall table'!$C$18)</f>
        <v>CA_SIDE_A_HN=prica</v>
      </c>
    </row>
    <row r="310" ht="12.75">
      <c r="A310" t="str">
        <f>CONCATENATE('NIDS Opticall table'!$B$19,"=",'NIDS Opticall table'!$C$19)</f>
        <v>CA_SIDE_B_HN=secca</v>
      </c>
    </row>
    <row r="311" ht="13.5" customHeight="1">
      <c r="A311"/>
    </row>
    <row r="312" ht="13.5" customHeight="1">
      <c r="A312" t="str">
        <f>CONCATENATE('NIDS Opticall table'!$B$20,"=",'NIDS Opticall table'!$C$20)</f>
        <v>FSAIN_SIDE_A_HN=prica</v>
      </c>
    </row>
    <row r="313" ht="12.75">
      <c r="A313" t="str">
        <f>CONCATENATE('NIDS Opticall table'!$B$21,"=",'NIDS Opticall table'!$C$21)</f>
        <v>FSAIN_SIDE_B_HN=secca</v>
      </c>
    </row>
    <row r="314" ht="12.75">
      <c r="A314"/>
    </row>
    <row r="315" ht="12.75">
      <c r="A315" t="str">
        <f>CONCATENATE('NIDS Opticall table'!$B$22,"=",'NIDS Opticall table'!$C$22)</f>
        <v>FSPTC_SIDE_A_HN=prica</v>
      </c>
    </row>
    <row r="316" ht="12.75">
      <c r="A316" t="str">
        <f>CONCATENATE('NIDS Opticall table'!$B$23,"=",'NIDS Opticall table'!$C$23)</f>
        <v>FSPTC_SIDE_B_HN=secca</v>
      </c>
    </row>
    <row r="317" ht="12" customHeight="1">
      <c r="A317"/>
    </row>
    <row r="318" ht="12" customHeight="1">
      <c r="A318" t="str">
        <f>CONCATENATE('NIDS Opticall table'!$B$24,"=",'NIDS Opticall table'!$C$24)</f>
        <v>EMS_SIDE_A_HN=priems</v>
      </c>
    </row>
    <row r="319" ht="12.75">
      <c r="A319" t="str">
        <f>CONCATENATE('NIDS Opticall table'!$B$25,"=",'NIDS Opticall table'!$C$25)</f>
        <v>EMS_SIDE_B_HN=secems</v>
      </c>
    </row>
    <row r="320" ht="12" customHeight="1">
      <c r="A320"/>
    </row>
    <row r="321" ht="12" customHeight="1">
      <c r="A321" s="93" t="s">
        <v>523</v>
      </c>
    </row>
    <row r="322" ht="13.5">
      <c r="A322" s="93"/>
    </row>
    <row r="323" ht="13.5">
      <c r="A323" s="93"/>
    </row>
    <row r="324" ht="13.5">
      <c r="A324" s="93"/>
    </row>
    <row r="325" ht="13.5">
      <c r="A325" s="93" t="s">
        <v>282</v>
      </c>
    </row>
    <row r="326" ht="13.5">
      <c r="A326" s="93" t="s">
        <v>283</v>
      </c>
    </row>
    <row r="327" ht="13.5">
      <c r="A327" s="93" t="s">
        <v>524</v>
      </c>
    </row>
    <row r="328" ht="13.5">
      <c r="A328" s="93" t="s">
        <v>284</v>
      </c>
    </row>
    <row r="329" ht="13.5">
      <c r="A329" s="93" t="s">
        <v>336</v>
      </c>
    </row>
    <row r="330" ht="13.5">
      <c r="A330" s="93" t="s">
        <v>285</v>
      </c>
    </row>
    <row r="331" ht="13.5">
      <c r="A331" s="93"/>
    </row>
    <row r="332" ht="12.75">
      <c r="A332" t="str">
        <f>CONCATENATE('NIDS Opticall table'!$B$26,"=",'NIDS Opticall table'!$C$26)</f>
        <v>CA_INSTALLING_LIST="CA146"</v>
      </c>
    </row>
    <row r="333" ht="12.75">
      <c r="A333" t="str">
        <f>CONCATENATE('NIDS Opticall table'!$B$27,"=",'NIDS Opticall table'!$C$27)</f>
        <v>FSAIN_INSTALLING_LIST="FSAIN205"</v>
      </c>
    </row>
    <row r="334" ht="12.75">
      <c r="A334" t="str">
        <f>CONCATENATE('NIDS Opticall table'!$B$28,"=",'NIDS Opticall table'!$C$28)</f>
        <v>FSPTC_INSTALLING_LIST="FSPTC235"</v>
      </c>
    </row>
    <row r="335" ht="12.75">
      <c r="A335" t="str">
        <f>CONCATENATE('NIDS Opticall table'!$B$29,"=",'NIDS Opticall table'!$C$29)</f>
        <v>EMS_INSTALLING_LIST="EM01"</v>
      </c>
    </row>
    <row r="336" ht="12.75">
      <c r="A336" t="str">
        <f>CONCATENATE('NIDS Opticall table'!$B$30,"=",'NIDS Opticall table'!$C$30)</f>
        <v>BDMS_INSTALLING_LIST="BDMS01"</v>
      </c>
    </row>
    <row r="337" ht="13.5">
      <c r="A337" s="93"/>
    </row>
    <row r="338" ht="13.5">
      <c r="A338" s="93" t="s">
        <v>286</v>
      </c>
    </row>
    <row r="339" ht="13.5">
      <c r="A339" s="93" t="s">
        <v>282</v>
      </c>
    </row>
    <row r="340" ht="13.5">
      <c r="A340" s="93"/>
    </row>
    <row r="341" ht="13.5">
      <c r="A341" s="93"/>
    </row>
    <row r="342" ht="13.5">
      <c r="A342" s="93"/>
    </row>
    <row r="343" ht="13.5">
      <c r="A343" s="93" t="s">
        <v>287</v>
      </c>
    </row>
    <row r="344" ht="13.5">
      <c r="A344" s="93" t="s">
        <v>288</v>
      </c>
    </row>
    <row r="345" ht="13.5">
      <c r="A345" s="93" t="s">
        <v>524</v>
      </c>
    </row>
    <row r="346" ht="13.5">
      <c r="A346" s="93" t="s">
        <v>337</v>
      </c>
    </row>
    <row r="347" ht="13.5">
      <c r="A347" s="93" t="s">
        <v>338</v>
      </c>
    </row>
    <row r="348" ht="13.5">
      <c r="A348" s="93" t="s">
        <v>339</v>
      </c>
    </row>
    <row r="349" ht="13.5">
      <c r="A349" s="93" t="s">
        <v>289</v>
      </c>
    </row>
    <row r="350" ht="13.5">
      <c r="A350" s="93"/>
    </row>
    <row r="351" ht="12.75">
      <c r="A351" t="str">
        <f>CONCATENATE('NIDS Opticall table'!$B$31,"=",'NIDS Opticall table'!$C$31)</f>
        <v>DNS_FOR_CA_SIDE_A_RED=red-aMAIN-STCA.name.cisco.com</v>
      </c>
    </row>
    <row r="352" ht="12.75">
      <c r="A352" t="str">
        <f>CONCATENATE('NIDS Opticall table'!$B$32,"=",'NIDS Opticall table'!$C$32)</f>
        <v>DNS_FOR_CA_SIDE_B_RED=red-bMAIN-STCA.name.cisco.com</v>
      </c>
    </row>
    <row r="353" ht="12.75">
      <c r="A353"/>
    </row>
    <row r="354" ht="12.75">
      <c r="A354" t="str">
        <f>CONCATENATE('NIDS Opticall table'!$B$33,"=",'NIDS Opticall table'!$C$33)</f>
        <v>DNS_FOR_FSAIN_SIDE_A_RED=red-aMAIN-STAIN.name.cisco.com</v>
      </c>
    </row>
    <row r="355" ht="12.75">
      <c r="A355" t="str">
        <f>CONCATENATE('NIDS Opticall table'!$B$34,"=",'NIDS Opticall table'!$C$34)</f>
        <v>DNS_FOR_FSAIN_SIDE_B_RED=red-bMAIN-STAIN.name.cisco.com</v>
      </c>
    </row>
    <row r="356" ht="12.75">
      <c r="A356"/>
    </row>
    <row r="357" ht="12.75">
      <c r="A357" t="str">
        <f>CONCATENATE('NIDS Opticall table'!$B$35,"=",'NIDS Opticall table'!$C$35)</f>
        <v>DNS_FOR_FSPTC_SIDE_A_RED=red-aMAIN-STPTC.name.cisco.com</v>
      </c>
    </row>
    <row r="358" ht="12.75">
      <c r="A358" t="str">
        <f>CONCATENATE('NIDS Opticall table'!$B$36,"=",'NIDS Opticall table'!$C$36)</f>
        <v>DNS_FOR_FSPTC_SIDE_B_RED=red-bMAIN-STPTC.name.cisco.com</v>
      </c>
    </row>
    <row r="359" ht="12.75">
      <c r="A359"/>
    </row>
    <row r="360" ht="12.75">
      <c r="A360" t="str">
        <f>CONCATENATE('NIDS Opticall table'!$B$37,"=",'NIDS Opticall table'!$C$37)</f>
        <v>DNS_FOR_EMS_SIDE_A_RED=red-aMAIN-STEMS.name.cisco.com</v>
      </c>
    </row>
    <row r="361" ht="12.75">
      <c r="A361" t="str">
        <f>CONCATENATE('NIDS Opticall table'!$B$38,"=",'NIDS Opticall table'!$C$38)</f>
        <v>DNS_FOR_EMS_SIDE_B_RED=red-bMAIN-STEMS.name.cisco.com</v>
      </c>
    </row>
    <row r="362" ht="13.5">
      <c r="A362" s="93"/>
    </row>
    <row r="363" ht="13.5">
      <c r="A363" s="93" t="s">
        <v>290</v>
      </c>
    </row>
    <row r="364" ht="13.5">
      <c r="A364" s="93" t="s">
        <v>287</v>
      </c>
    </row>
    <row r="365" ht="13.5">
      <c r="A365" s="93"/>
    </row>
    <row r="366" ht="13.5">
      <c r="A366" s="93"/>
    </row>
    <row r="367" ht="13.5">
      <c r="A367" s="93"/>
    </row>
    <row r="368" ht="13.5">
      <c r="A368" s="93" t="s">
        <v>282</v>
      </c>
    </row>
    <row r="369" ht="13.5">
      <c r="A369" s="93" t="s">
        <v>291</v>
      </c>
    </row>
    <row r="370" ht="13.5">
      <c r="A370" s="93" t="s">
        <v>524</v>
      </c>
    </row>
    <row r="371" ht="13.5">
      <c r="A371" s="93" t="s">
        <v>340</v>
      </c>
    </row>
    <row r="372" ht="13.5">
      <c r="A372" s="93" t="s">
        <v>341</v>
      </c>
    </row>
    <row r="373" ht="13.5">
      <c r="A373" s="93" t="s">
        <v>292</v>
      </c>
    </row>
    <row r="374" ht="13.5">
      <c r="A374" s="93"/>
    </row>
    <row r="375" ht="12.75">
      <c r="A375" t="str">
        <f>CONCATENATE('NIDS Opticall table'!$B$39,"=",'NIDS Opticall table'!$C$39)</f>
        <v>DNS_FOR_CA_SIDE_A_BLG_COM=blg-aMAIN-STEMS.name.cisco.com</v>
      </c>
    </row>
    <row r="376" ht="12.75">
      <c r="A376" t="str">
        <f>CONCATENATE('NIDS Opticall table'!$B$40,"=",'NIDS Opticall table'!$C$40)</f>
        <v>DNS_FOR_CA_SIDE_B_BLG_COM=blg-bMAIN-STEMS.name.cisco.com</v>
      </c>
    </row>
    <row r="377" ht="13.5">
      <c r="A377" s="93"/>
    </row>
    <row r="378" ht="13.5">
      <c r="A378" s="93" t="s">
        <v>293</v>
      </c>
    </row>
    <row r="379" ht="13.5">
      <c r="A379" s="93" t="s">
        <v>294</v>
      </c>
    </row>
    <row r="380" ht="13.5">
      <c r="A380" s="93"/>
    </row>
    <row r="381" ht="12.75">
      <c r="A381" t="str">
        <f>CONCATENATE('NIDS Opticall table'!$B$41,"=",'NIDS Opticall table'!$C$41)</f>
        <v>DNS_FOR_CA_SIDE_A_BLG_LINK_MONITOR=blg-aMAIN-STCA.name.cisco.com</v>
      </c>
    </row>
    <row r="382" ht="12.75">
      <c r="A382" t="str">
        <f>CONCATENATE('NIDS Opticall table'!$B$42,"=",'NIDS Opticall table'!$C$42)</f>
        <v>DNS_FOR_CA_SIDE_B_BLG_LINK_MONITOR=blg-bMAIN-STCA.name.cisco.com</v>
      </c>
    </row>
    <row r="383" ht="13.5">
      <c r="A383" s="93"/>
    </row>
    <row r="384" ht="13.5">
      <c r="A384" s="93"/>
    </row>
    <row r="385" ht="12.75">
      <c r="A385"/>
    </row>
    <row r="386" ht="13.5">
      <c r="A386" s="93" t="s">
        <v>342</v>
      </c>
    </row>
    <row r="387" ht="13.5">
      <c r="A387" s="93" t="s">
        <v>302</v>
      </c>
    </row>
    <row r="388" ht="13.5">
      <c r="A388" s="93" t="s">
        <v>295</v>
      </c>
    </row>
    <row r="389" ht="13.5">
      <c r="A389" s="93" t="s">
        <v>343</v>
      </c>
    </row>
    <row r="390" ht="13.5">
      <c r="A390" s="93" t="s">
        <v>86</v>
      </c>
    </row>
    <row r="391" ht="13.5">
      <c r="A391" s="93" t="s">
        <v>296</v>
      </c>
    </row>
    <row r="392" ht="13.5">
      <c r="A392" s="93"/>
    </row>
    <row r="393" ht="12.75">
      <c r="A393" t="str">
        <f>CONCATENATE('NIDS Opticall table'!$B$44,"=",'NIDS Opticall table'!$C$44)</f>
        <v>DNS_FOR_CA146_MGCP_COM=mgcp-MAIN-STCA146.name.cisco.com</v>
      </c>
    </row>
    <row r="394" ht="13.5">
      <c r="A394" s="93"/>
    </row>
    <row r="395" ht="13.5">
      <c r="A395" s="93"/>
    </row>
    <row r="396" ht="13.5">
      <c r="A396" s="93" t="s">
        <v>297</v>
      </c>
    </row>
    <row r="397" ht="13.5">
      <c r="A397" s="93" t="s">
        <v>298</v>
      </c>
    </row>
    <row r="398" ht="13.5">
      <c r="A398" s="93" t="s">
        <v>344</v>
      </c>
    </row>
    <row r="399" ht="13.5">
      <c r="A399" s="93" t="s">
        <v>299</v>
      </c>
    </row>
    <row r="400" ht="13.5">
      <c r="A400" s="93"/>
    </row>
    <row r="401" ht="12.75">
      <c r="A401" t="str">
        <f>CONCATENATE('NIDS Opticall table'!$B$45,"=",'NIDS Opticall table'!$C$45)</f>
        <v>DNS_FOR_CA_SIDE_A_CRIT_COM=crit-aMAIN-STCA.name.cisco.com</v>
      </c>
    </row>
    <row r="402" ht="12.75">
      <c r="A402" t="str">
        <f>CONCATENATE('NIDS Opticall table'!$B$46,"=",'NIDS Opticall table'!$C$46)</f>
        <v>DNS_FOR_CA_SIDE_B_CRIT_COM=crit-bMAIN-STCA.name.cisco.com</v>
      </c>
    </row>
    <row r="403" ht="13.5">
      <c r="A403" s="93"/>
    </row>
    <row r="404" ht="13.5">
      <c r="A404" s="93"/>
    </row>
    <row r="405" ht="13.5">
      <c r="A405" s="93" t="s">
        <v>345</v>
      </c>
    </row>
    <row r="406" ht="13.5">
      <c r="A406" s="93" t="s">
        <v>346</v>
      </c>
    </row>
    <row r="407" ht="13.5">
      <c r="A407" s="93" t="s">
        <v>300</v>
      </c>
    </row>
    <row r="408" ht="13.5">
      <c r="A408" s="93" t="s">
        <v>347</v>
      </c>
    </row>
    <row r="409" ht="13.5">
      <c r="A409" s="93" t="s">
        <v>348</v>
      </c>
    </row>
    <row r="410" ht="13.5">
      <c r="A410" s="93"/>
    </row>
    <row r="411" ht="12.75">
      <c r="A411" t="str">
        <f>CONCATENATE('NIDS Opticall table'!$B$47,"=",'NIDS Opticall table'!$C$47)</f>
        <v>DNS_FOR_CA_SIA_COM=sia-MAIN-STCA.name.cisco.com</v>
      </c>
    </row>
    <row r="412" ht="13.5">
      <c r="A412" s="93"/>
    </row>
    <row r="413" ht="13.5">
      <c r="A413" s="93"/>
    </row>
    <row r="414" ht="13.5">
      <c r="A414" s="93" t="s">
        <v>349</v>
      </c>
    </row>
    <row r="415" ht="13.5">
      <c r="A415" s="93" t="s">
        <v>302</v>
      </c>
    </row>
    <row r="416" ht="13.5">
      <c r="A416" s="93" t="s">
        <v>295</v>
      </c>
    </row>
    <row r="417" ht="13.5">
      <c r="A417" s="93" t="s">
        <v>343</v>
      </c>
    </row>
    <row r="418" ht="13.5">
      <c r="A418" s="93" t="s">
        <v>86</v>
      </c>
    </row>
    <row r="419" ht="13.5">
      <c r="A419" s="93" t="s">
        <v>296</v>
      </c>
    </row>
    <row r="420" ht="13.5">
      <c r="A420" s="93"/>
    </row>
    <row r="421" ht="12.75">
      <c r="A421" t="str">
        <f>CONCATENATE('NIDS Opticall table'!$B$48,"=",'NIDS Opticall table'!$C$48)</f>
        <v>DNS_FOR_CA146_SIA_COM=sia-MAIN-STCA146.name.cisco.com</v>
      </c>
    </row>
    <row r="422" ht="13.5">
      <c r="A422" s="93"/>
    </row>
    <row r="423" ht="13.5">
      <c r="A423" s="93"/>
    </row>
    <row r="424" ht="13.5">
      <c r="A424" s="93" t="s">
        <v>301</v>
      </c>
    </row>
    <row r="425" ht="13.5">
      <c r="A425" s="93" t="s">
        <v>302</v>
      </c>
    </row>
    <row r="426" ht="13.5">
      <c r="A426" s="93" t="s">
        <v>19</v>
      </c>
    </row>
    <row r="427" ht="13.5">
      <c r="A427" s="93" t="s">
        <v>343</v>
      </c>
    </row>
    <row r="428" ht="13.5">
      <c r="A428" s="93" t="s">
        <v>86</v>
      </c>
    </row>
    <row r="429" ht="13.5">
      <c r="A429" s="93" t="s">
        <v>296</v>
      </c>
    </row>
    <row r="430" ht="13.5">
      <c r="A430" s="93"/>
    </row>
    <row r="431" ht="12.75">
      <c r="A431" t="str">
        <f>CONCATENATE('NIDS Opticall table'!$B$49,"=",IF('NIDS Data Entry + Netwk tables'!$C$44="y",'NIDS Opticall table'!$C$49,""""""))</f>
        <v>DNS_FOR_CA146_H323_COM=h3a-MAIN-STCA146.name.cisco.com</v>
      </c>
    </row>
    <row r="432" ht="13.5">
      <c r="A432" s="93"/>
    </row>
    <row r="433" ht="13.5">
      <c r="A433" s="93"/>
    </row>
    <row r="434" ht="13.5">
      <c r="A434" s="93" t="s">
        <v>350</v>
      </c>
    </row>
    <row r="435" ht="13.5">
      <c r="A435" s="93" t="s">
        <v>351</v>
      </c>
    </row>
    <row r="436" ht="13.5">
      <c r="A436" s="93" t="s">
        <v>728</v>
      </c>
    </row>
    <row r="437" ht="13.5">
      <c r="A437" s="93" t="s">
        <v>20</v>
      </c>
    </row>
    <row r="438" ht="13.5">
      <c r="A438" s="93" t="s">
        <v>87</v>
      </c>
    </row>
    <row r="439" ht="13.5">
      <c r="A439" s="93" t="s">
        <v>21</v>
      </c>
    </row>
    <row r="440" ht="13.5">
      <c r="A440" s="93" t="s">
        <v>22</v>
      </c>
    </row>
    <row r="441" ht="13.5">
      <c r="A441" s="93" t="s">
        <v>23</v>
      </c>
    </row>
    <row r="442" ht="13.5">
      <c r="A442" s="93"/>
    </row>
    <row r="443" ht="12.75">
      <c r="A443" t="str">
        <f>CONCATENATE('NIDS Opticall table'!$B$50,"=",'NIDS Opticall table'!$C$50)</f>
        <v>DNS_FOR_CA146_SIM_COM=sim-MAIN-STCA146.name.cisco.com</v>
      </c>
    </row>
    <row r="444" ht="13.5">
      <c r="A444" s="93"/>
    </row>
    <row r="445" ht="13.5">
      <c r="A445" s="93"/>
    </row>
    <row r="446" ht="13.5">
      <c r="A446" s="93" t="s">
        <v>352</v>
      </c>
    </row>
    <row r="447" ht="13.5">
      <c r="A447" s="93" t="s">
        <v>351</v>
      </c>
    </row>
    <row r="448" ht="13.5">
      <c r="A448" s="93" t="s">
        <v>303</v>
      </c>
    </row>
    <row r="449" ht="13.5">
      <c r="A449" s="93"/>
    </row>
    <row r="450" ht="12.75">
      <c r="A450" t="str">
        <f>CONCATENATE('NIDS Opticall table'!$B$51,"=",'NIDS Opticall table'!$C$51)</f>
        <v>DNS_FOR_CA_SIDE_A_ANM_COM=anm-aMAIN-STCA.name.cisco.com</v>
      </c>
    </row>
    <row r="451" ht="12.75">
      <c r="A451" t="str">
        <f>CONCATENATE('NIDS Opticall table'!$B$52,"=",'NIDS Opticall table'!$C$52)</f>
        <v>DNS_FOR_CA_SIDE_B_ANM_COM=anm-bMAIN-STCA.name.cisco.com</v>
      </c>
    </row>
    <row r="452" ht="13.5">
      <c r="A452" s="93"/>
    </row>
    <row r="453" ht="13.5">
      <c r="A453" s="93"/>
    </row>
    <row r="454" ht="13.5">
      <c r="A454" s="93"/>
    </row>
    <row r="455" ht="13.5">
      <c r="A455" s="93" t="s">
        <v>353</v>
      </c>
    </row>
    <row r="456" ht="13.5">
      <c r="A456" s="93" t="s">
        <v>354</v>
      </c>
    </row>
    <row r="457" ht="13.5">
      <c r="A457" s="93" t="s">
        <v>304</v>
      </c>
    </row>
    <row r="458" ht="13.5">
      <c r="A458" s="93" t="s">
        <v>305</v>
      </c>
    </row>
    <row r="459" ht="13.5">
      <c r="A459" s="93"/>
    </row>
    <row r="460" ht="12.75">
      <c r="A460" t="str">
        <f>CONCATENATE('NIDS Opticall table'!$B$53,"=",'NIDS Opticall table'!$C$53)</f>
        <v>DNS_FOR_CA_SIDE_A_SGA_COM=sga-aMAIN-STCA.name.cisco.com</v>
      </c>
    </row>
    <row r="461" ht="12.75">
      <c r="A461" t="str">
        <f>CONCATENATE('NIDS Opticall table'!$B$54,"=",'NIDS Opticall table'!$C$54)</f>
        <v>DNS_FOR_CA_SIDE_B_SGA_COM=sga-bMAIN-STCA.name.cisco.com</v>
      </c>
    </row>
    <row r="462" ht="13.5">
      <c r="A462" s="93"/>
    </row>
    <row r="463" ht="13.5">
      <c r="A463" s="93"/>
    </row>
    <row r="464" ht="13.5">
      <c r="A464" s="93"/>
    </row>
    <row r="465" ht="13.5">
      <c r="A465" s="93" t="s">
        <v>355</v>
      </c>
    </row>
    <row r="466" ht="13.5">
      <c r="A466" s="93" t="s">
        <v>356</v>
      </c>
    </row>
    <row r="467" ht="13.5">
      <c r="A467" s="93" t="s">
        <v>306</v>
      </c>
    </row>
    <row r="468" ht="13.5">
      <c r="A468" s="93"/>
    </row>
    <row r="469" ht="12.75">
      <c r="A469" t="str">
        <f>CONCATENATE('NIDS Opticall table'!$B$55,"=",'NIDS Opticall table'!$C$55)</f>
        <v>DNS_FOR_CA_SIDE_A_1_BSM_COM=bsm-a1MAIN-STCA.name.cisco.com</v>
      </c>
    </row>
    <row r="470" ht="12.75">
      <c r="A470" t="str">
        <f>CONCATENATE('NIDS Opticall table'!$B$56,"=",'NIDS Opticall table'!$C$56)</f>
        <v>DNS_FOR_CA_SIDE_A_2_BSM_COM=bsm-a2MAIN-STCA.name.cisco.com</v>
      </c>
    </row>
    <row r="471" ht="12.75">
      <c r="A471" t="str">
        <f>CONCATENATE('NIDS Opticall table'!$B$57,"=",'NIDS Opticall table'!$C$57)</f>
        <v>DNS_FOR_CA_SIDE_B_1_BSM_COM=bsm-b1MAIN-STCA.name.cisco.com</v>
      </c>
    </row>
    <row r="472" ht="12.75">
      <c r="A472" t="str">
        <f>CONCATENATE('NIDS Opticall table'!$B$58,"=",'NIDS Opticall table'!$C$58)</f>
        <v>DNS_FOR_CA_SIDE_B_2_BSM_COM=bsm-b2MAIN-STCA.name.cisco.com</v>
      </c>
    </row>
    <row r="473" ht="12.75">
      <c r="A473"/>
    </row>
    <row r="474" ht="12.75">
      <c r="A474" t="s">
        <v>482</v>
      </c>
    </row>
    <row r="475" ht="12.75">
      <c r="A475" t="s">
        <v>483</v>
      </c>
    </row>
    <row r="476" ht="12.75">
      <c r="A476" t="s">
        <v>484</v>
      </c>
    </row>
    <row r="477" ht="12.75">
      <c r="A477" t="s">
        <v>485</v>
      </c>
    </row>
    <row r="478" ht="12.75">
      <c r="A478"/>
    </row>
    <row r="479" ht="12.75">
      <c r="A479" t="str">
        <f>CONCATENATE('NIDS Opticall table'!$B$106,"=",'NIDS Opticall table'!$C$106)</f>
        <v>DNS_FOR_CA_SIDE_A_IUA_COM=iua-aMAIN-STCA.name.cisco.com</v>
      </c>
    </row>
    <row r="480" ht="12.75">
      <c r="A480" t="str">
        <f>CONCATENATE('NIDS Opticall table'!$B$107,"=",'NIDS Opticall table'!$C$107)</f>
        <v>DNS_FOR_CA_SIDE_B_IUA_COM=iua-bMAIN-STCA.name.cisco.com</v>
      </c>
    </row>
    <row r="481" ht="12.75">
      <c r="A481"/>
    </row>
    <row r="482" ht="13.5">
      <c r="A482" s="93"/>
    </row>
    <row r="483" ht="13.5">
      <c r="A483" s="93" t="s">
        <v>307</v>
      </c>
    </row>
    <row r="484" ht="13.5">
      <c r="A484" s="93" t="s">
        <v>282</v>
      </c>
    </row>
    <row r="485" ht="13.5">
      <c r="A485" s="93"/>
    </row>
    <row r="486" ht="13.5">
      <c r="A486" s="93"/>
    </row>
    <row r="487" ht="13.5">
      <c r="A487" s="93"/>
    </row>
    <row r="488" ht="13.5">
      <c r="A488" s="93" t="s">
        <v>308</v>
      </c>
    </row>
    <row r="489" ht="13.5">
      <c r="A489" s="93" t="s">
        <v>309</v>
      </c>
    </row>
    <row r="490" ht="13.5">
      <c r="A490" s="93" t="s">
        <v>524</v>
      </c>
    </row>
    <row r="491" ht="13.5">
      <c r="A491" s="93" t="s">
        <v>357</v>
      </c>
    </row>
    <row r="492" ht="13.5">
      <c r="A492" s="93" t="s">
        <v>358</v>
      </c>
    </row>
    <row r="493" ht="13.5">
      <c r="A493" s="93" t="s">
        <v>24</v>
      </c>
    </row>
    <row r="494" ht="13.5">
      <c r="A494" s="93" t="s">
        <v>25</v>
      </c>
    </row>
    <row r="495" ht="13.5">
      <c r="A495" s="93" t="s">
        <v>26</v>
      </c>
    </row>
    <row r="496" ht="13.5">
      <c r="A496" s="93" t="s">
        <v>88</v>
      </c>
    </row>
    <row r="497" ht="13.5">
      <c r="A497" s="93" t="s">
        <v>27</v>
      </c>
    </row>
    <row r="498" ht="13.5">
      <c r="A498" s="93" t="s">
        <v>28</v>
      </c>
    </row>
    <row r="499" ht="13.5">
      <c r="A499" s="93" t="s">
        <v>29</v>
      </c>
    </row>
    <row r="500" ht="13.5">
      <c r="A500" s="93"/>
    </row>
    <row r="501" ht="12.75">
      <c r="A501" t="str">
        <f>CONCATENATE('NIDS Opticall table'!$B$59,"=",'NIDS Opticall table'!$C$59)</f>
        <v>DNS_FOR_FSAIN205_ASM_COM=asm-MAIN-STAIN205.name.cisco.com</v>
      </c>
    </row>
    <row r="502" ht="13.5">
      <c r="A502" s="93"/>
    </row>
    <row r="503" ht="13.5">
      <c r="A503" s="93"/>
    </row>
    <row r="504" ht="13.5">
      <c r="A504" s="93" t="s">
        <v>297</v>
      </c>
    </row>
    <row r="505" ht="13.5">
      <c r="A505" s="93" t="s">
        <v>298</v>
      </c>
    </row>
    <row r="506" ht="13.5">
      <c r="A506" s="93" t="s">
        <v>344</v>
      </c>
    </row>
    <row r="507" ht="13.5">
      <c r="A507" s="93" t="s">
        <v>310</v>
      </c>
    </row>
    <row r="508" ht="13.5">
      <c r="A508" s="93"/>
    </row>
    <row r="509" ht="12.75">
      <c r="A509" t="str">
        <f>CONCATENATE('NIDS Opticall table'!$B$60,"=",'NIDS Opticall table'!$C$60)</f>
        <v>DNS_FOR_FSAIN_SIDE_A_CRIT_COM=crit-aMAIN-STAIN.name.cisco.com</v>
      </c>
    </row>
    <row r="510" ht="12.75">
      <c r="A510" t="str">
        <f>CONCATENATE('NIDS Opticall table'!$B$61,"=",'NIDS Opticall table'!$C$61)</f>
        <v>DNS_FOR_FSAIN_SIDE_B_CRIT_COM=crit-bMAIN-STAIN.name.cisco.com</v>
      </c>
    </row>
    <row r="511" ht="13.5">
      <c r="A511" s="93"/>
    </row>
    <row r="512" ht="13.5">
      <c r="A512" s="93"/>
    </row>
    <row r="513" ht="13.5">
      <c r="A513" s="93" t="s">
        <v>311</v>
      </c>
    </row>
    <row r="514" ht="13.5">
      <c r="A514" s="93" t="s">
        <v>359</v>
      </c>
    </row>
    <row r="515" ht="13.5">
      <c r="A515" s="93" t="s">
        <v>312</v>
      </c>
    </row>
    <row r="516" ht="13.5">
      <c r="A516" s="93"/>
    </row>
    <row r="517" ht="12.75">
      <c r="A517" t="str">
        <f>CONCATENATE('NIDS Opticall table'!$B$62,"=",'NIDS Opticall table'!$C$62)</f>
        <v>DNS_FOR_FSAIN_SIDE_A_SGW_COM=sgw-aMAIN-STAIN.name.cisco.com</v>
      </c>
    </row>
    <row r="518" ht="12.75">
      <c r="A518" t="str">
        <f>CONCATENATE('NIDS Opticall table'!$B$63,"=",'NIDS Opticall table'!$C$63)</f>
        <v>DNS_FOR_FSAIN_SIDE_B_SGW_COM=sgw-bMAIN-STAIN.name.cisco.com</v>
      </c>
    </row>
    <row r="519" ht="13.5">
      <c r="A519" s="93"/>
    </row>
    <row r="520" ht="13.5">
      <c r="A520" s="93" t="s">
        <v>313</v>
      </c>
    </row>
    <row r="521" ht="13.5">
      <c r="A521" s="93" t="s">
        <v>308</v>
      </c>
    </row>
    <row r="522" ht="13.5">
      <c r="A522" s="93"/>
    </row>
    <row r="523" ht="13.5">
      <c r="A523" s="93"/>
    </row>
    <row r="524" ht="13.5">
      <c r="A524" s="93"/>
    </row>
    <row r="525" ht="13.5">
      <c r="A525" s="93" t="s">
        <v>287</v>
      </c>
    </row>
    <row r="526" ht="13.5">
      <c r="A526" s="93" t="s">
        <v>314</v>
      </c>
    </row>
    <row r="527" ht="13.5">
      <c r="A527" s="93" t="s">
        <v>524</v>
      </c>
    </row>
    <row r="528" ht="13.5">
      <c r="A528" s="93" t="s">
        <v>30</v>
      </c>
    </row>
    <row r="529" ht="13.5">
      <c r="A529" s="93" t="s">
        <v>31</v>
      </c>
    </row>
    <row r="530" ht="13.5">
      <c r="A530" s="93" t="s">
        <v>32</v>
      </c>
    </row>
    <row r="531" ht="13.5">
      <c r="A531" s="93" t="s">
        <v>33</v>
      </c>
    </row>
    <row r="532" ht="13.5">
      <c r="A532" s="93" t="s">
        <v>34</v>
      </c>
    </row>
    <row r="533" ht="13.5">
      <c r="A533" s="93" t="s">
        <v>89</v>
      </c>
    </row>
    <row r="534" ht="13.5">
      <c r="A534" s="93" t="s">
        <v>35</v>
      </c>
    </row>
    <row r="535" ht="13.5">
      <c r="A535" s="93" t="s">
        <v>36</v>
      </c>
    </row>
    <row r="536" ht="13.5">
      <c r="A536" s="93" t="s">
        <v>37</v>
      </c>
    </row>
    <row r="537" ht="13.5">
      <c r="A537" s="93"/>
    </row>
    <row r="538" ht="12.75">
      <c r="A538" t="str">
        <f>CONCATENATE('NIDS Opticall table'!$B$64,"=",'NIDS Opticall table'!$C$64)</f>
        <v>DNS_FOR_FSPTC235_POTS_COM=pots-MAIN-STPTC235.name.cisco.com</v>
      </c>
    </row>
    <row r="539" ht="13.5">
      <c r="A539" s="93"/>
    </row>
    <row r="540" ht="13.5">
      <c r="A540" s="93"/>
    </row>
    <row r="541" ht="13.5">
      <c r="A541" s="93" t="s">
        <v>297</v>
      </c>
    </row>
    <row r="542" ht="13.5">
      <c r="A542" s="93" t="s">
        <v>298</v>
      </c>
    </row>
    <row r="543" ht="13.5">
      <c r="A543" s="93" t="s">
        <v>344</v>
      </c>
    </row>
    <row r="544" ht="13.5">
      <c r="A544" s="93" t="s">
        <v>315</v>
      </c>
    </row>
    <row r="545" ht="13.5">
      <c r="A545" s="93"/>
    </row>
    <row r="546" ht="12.75">
      <c r="A546" t="str">
        <f>CONCATENATE('NIDS Opticall table'!$B$65,"=",'NIDS Opticall table'!$C$65)</f>
        <v>DNS_FOR_FSPTC_SIDE_A_CRIT_COM=crit-aMAIN-STPTC.name.cisco.com</v>
      </c>
    </row>
    <row r="547" ht="12.75">
      <c r="A547" t="str">
        <f>CONCATENATE('NIDS Opticall table'!$B$66,"=",'NIDS Opticall table'!$C$66)</f>
        <v>DNS_FOR_FSPTC_SIDE_B_CRIT_COM=crit-bMAIN-STPTC.name.cisco.com</v>
      </c>
    </row>
    <row r="548" ht="13.5">
      <c r="A548" s="93"/>
    </row>
    <row r="549" ht="13.5">
      <c r="A549" s="93"/>
    </row>
    <row r="550" ht="13.5">
      <c r="A550" s="93" t="s">
        <v>311</v>
      </c>
    </row>
    <row r="551" ht="13.5">
      <c r="A551" s="93" t="s">
        <v>360</v>
      </c>
    </row>
    <row r="552" ht="13.5">
      <c r="A552" s="93" t="s">
        <v>316</v>
      </c>
    </row>
    <row r="553" ht="13.5">
      <c r="A553" s="93"/>
    </row>
    <row r="554" ht="12.75">
      <c r="A554" t="str">
        <f>CONCATENATE('NIDS Opticall table'!$B$67,"=",'NIDS Opticall table'!$C$67)</f>
        <v>DNS_FOR_FSPTC_SIDE_A_SGW_COM=sgw-aMAIN-STPTC.name.cisco.com</v>
      </c>
    </row>
    <row r="555" ht="12.75">
      <c r="A555" t="str">
        <f>CONCATENATE('NIDS Opticall table'!$B$68,"=",'NIDS Opticall table'!$C$68)</f>
        <v>DNS_FOR_FSPTC_SIDE_B_SGW_COM=sgw-bMAIN-STPTC.name.cisco.com</v>
      </c>
    </row>
    <row r="556" ht="13.5">
      <c r="A556" s="93"/>
    </row>
    <row r="557" ht="13.5">
      <c r="A557" s="93" t="s">
        <v>317</v>
      </c>
    </row>
    <row r="558" ht="13.5">
      <c r="A558" s="93" t="s">
        <v>361</v>
      </c>
    </row>
    <row r="559" ht="13.5">
      <c r="A559" s="93" t="s">
        <v>362</v>
      </c>
    </row>
    <row r="560" ht="13.5">
      <c r="A560" s="93" t="s">
        <v>318</v>
      </c>
    </row>
    <row r="561" ht="13.5">
      <c r="A561" s="93"/>
    </row>
    <row r="562" ht="12.75">
      <c r="A562" t="str">
        <f>CONCATENATE('NIDS Opticall table'!$B$69,"=",'NIDS Opticall table'!$C$69)</f>
        <v>DNS_FOR_FSPTC235_GFS_COM=gfs-MAIN-STPTC235.name.cisco.com</v>
      </c>
    </row>
    <row r="563" ht="13.5">
      <c r="A563" s="93"/>
    </row>
    <row r="564" ht="13.5">
      <c r="A564" s="93"/>
    </row>
    <row r="565" ht="13.5">
      <c r="A565" s="93" t="s">
        <v>363</v>
      </c>
    </row>
    <row r="566" ht="13.5">
      <c r="A566" s="93" t="s">
        <v>287</v>
      </c>
    </row>
    <row r="567" ht="13.5">
      <c r="A567" s="93"/>
    </row>
    <row r="568" ht="13.5">
      <c r="A568" s="93"/>
    </row>
    <row r="569" ht="13.5">
      <c r="A569" s="93"/>
    </row>
    <row r="570" ht="13.5">
      <c r="A570" s="93" t="s">
        <v>282</v>
      </c>
    </row>
    <row r="571" ht="13.5">
      <c r="A571" s="93" t="s">
        <v>364</v>
      </c>
    </row>
    <row r="572" ht="13.5">
      <c r="A572" s="93" t="s">
        <v>524</v>
      </c>
    </row>
    <row r="573" ht="13.5">
      <c r="A573" s="93" t="s">
        <v>297</v>
      </c>
    </row>
    <row r="574" ht="13.5">
      <c r="A574" s="93" t="s">
        <v>298</v>
      </c>
    </row>
    <row r="575" ht="13.5">
      <c r="A575" s="93" t="s">
        <v>344</v>
      </c>
    </row>
    <row r="576" ht="13.5">
      <c r="A576" s="93" t="s">
        <v>365</v>
      </c>
    </row>
    <row r="577" ht="13.5">
      <c r="A577" s="93"/>
    </row>
    <row r="578" ht="12.75">
      <c r="A578" t="str">
        <f>CONCATENATE('NIDS Opticall table'!$B$70,"=",'NIDS Opticall table'!$C$70)</f>
        <v>DNS_FOR_EMS_SIDE_A_CRIT_COM=crit-aMAIN-STEMS.name.cisco.com</v>
      </c>
    </row>
    <row r="579" ht="12.75">
      <c r="A579" t="str">
        <f>CONCATENATE('NIDS Opticall table'!$B$71,"=",'NIDS Opticall table'!$C$71)</f>
        <v>DNS_FOR_EMS_SIDE_B_CRIT_COM=crit-bMAIN-STEMS.name.cisco.com</v>
      </c>
    </row>
    <row r="580" ht="13.5">
      <c r="A580" s="93"/>
    </row>
    <row r="581" ht="13.5">
      <c r="A581" s="93"/>
    </row>
    <row r="582" ht="13.5">
      <c r="A582" s="93" t="s">
        <v>366</v>
      </c>
    </row>
    <row r="583" ht="13.5">
      <c r="A583" s="93" t="s">
        <v>39</v>
      </c>
    </row>
    <row r="584" ht="13.5">
      <c r="A584" s="93" t="s">
        <v>40</v>
      </c>
    </row>
    <row r="585" ht="13.5">
      <c r="A585" s="93" t="s">
        <v>41</v>
      </c>
    </row>
    <row r="586" ht="13.5">
      <c r="A586" s="93" t="s">
        <v>42</v>
      </c>
    </row>
    <row r="587" ht="13.5">
      <c r="A587" s="93" t="s">
        <v>261</v>
      </c>
    </row>
    <row r="588" ht="13.5">
      <c r="A588" s="93"/>
    </row>
    <row r="589" ht="12.75">
      <c r="A589" t="str">
        <f>CONCATENATE('NIDS Opticall table'!$B$72,"=",'NIDS Opticall table'!$C$72)</f>
        <v>DNS_FOR_CA_SIDE_A_OMS_SLAVE_HUB=oms-aMAIN-STCA.name.cisco.com</v>
      </c>
    </row>
    <row r="590" ht="12.75">
      <c r="A590" t="str">
        <f>CONCATENATE('NIDS Opticall table'!$B$73,"=",'NIDS Opticall table'!$C$73)</f>
        <v>DNS_FOR_CA_SIDE_B_OMS_SLAVE_HUB=oms-bMAIN-STCA.name.cisco.com</v>
      </c>
    </row>
    <row r="591" ht="12.75">
      <c r="A591"/>
    </row>
    <row r="592" ht="12.75">
      <c r="A592" t="str">
        <f>CONCATENATE('NIDS Opticall table'!$B$74,"=",'NIDS Opticall table'!$C$74)</f>
        <v>DNS_FOR_FSAIN_SIDE_A_OMS_SLAVE_HUB=oms-aMAIN-STAIN.name.cisco.com</v>
      </c>
    </row>
    <row r="593" ht="12.75">
      <c r="A593" t="str">
        <f>CONCATENATE('NIDS Opticall table'!$B$75,"=",'NIDS Opticall table'!$C$75)</f>
        <v>DNS_FOR_FSAIN_SIDE_B_OMS_SLAVE_HUB=oms-bMAIN-STAIN.name.cisco.com</v>
      </c>
    </row>
    <row r="594" ht="12.75">
      <c r="A594"/>
    </row>
    <row r="595" ht="12.75">
      <c r="A595" t="str">
        <f>CONCATENATE('NIDS Opticall table'!$B$76,"=",'NIDS Opticall table'!$C$76)</f>
        <v>DNS_FOR_FSPTC_SIDE_A_OMS_SLAVE_HUB=oms-aMAIN-STPTC.name.cisco.com</v>
      </c>
    </row>
    <row r="596" ht="12.75">
      <c r="A596" t="str">
        <f>CONCATENATE('NIDS Opticall table'!$B$77,"=",'NIDS Opticall table'!$C$77)</f>
        <v>DNS_FOR_FSPTC_SIDE_B_OMS_SLAVE_HUB=oms-bMAIN-STPTC.name.cisco.com</v>
      </c>
    </row>
    <row r="597" ht="12.75">
      <c r="A597"/>
    </row>
    <row r="598" ht="12.75">
      <c r="A598" t="str">
        <f>CONCATENATE('NIDS Opticall table'!$B$78,"=",'NIDS Opticall table'!$C$78)</f>
        <v>DNS_FOR_EMS_SIDE_A_OMS_SLAVE_HUB=oms-aMAIN-STEMS.name.cisco.com</v>
      </c>
    </row>
    <row r="599" ht="12.75">
      <c r="A599" t="str">
        <f>CONCATENATE('NIDS Opticall table'!$B$79,"=",'NIDS Opticall table'!$C$79)</f>
        <v>DNS_FOR_EMS_SIDE_B_OMS_SLAVE_HUB=oms-bMAIN-STEMS.name.cisco.com</v>
      </c>
    </row>
    <row r="600" ht="12.75">
      <c r="A600"/>
    </row>
    <row r="601" ht="12.75">
      <c r="A601"/>
    </row>
    <row r="602" ht="12.75">
      <c r="A602" t="s">
        <v>683</v>
      </c>
    </row>
    <row r="603" ht="12.75">
      <c r="A603" t="s">
        <v>684</v>
      </c>
    </row>
    <row r="604" ht="12.75">
      <c r="A604" t="s">
        <v>685</v>
      </c>
    </row>
    <row r="605" ht="12.75">
      <c r="A605" t="s">
        <v>686</v>
      </c>
    </row>
    <row r="606" ht="12.75">
      <c r="A606" t="str">
        <f>CONCATENATE('NIDS Opticall table'!$B$104,"=",'NIDS Opticall table'!$C$104)</f>
        <v>DNS_FOR_EMS_SIDE_A_MDII_COM=mdii-aMAIN-STEMS.name.cisco.com</v>
      </c>
    </row>
    <row r="607" ht="12.75">
      <c r="A607" t="str">
        <f>CONCATENATE('NIDS Opticall table'!$B$105,"=",'NIDS Opticall table'!$C$105)</f>
        <v>DNS_FOR_EMS_SIDE_B_MDII_COM=mdii-bMAIN-STEMS.name.cisco.com</v>
      </c>
    </row>
    <row r="608" ht="12.75">
      <c r="A608"/>
    </row>
    <row r="609" ht="12.75">
      <c r="A609"/>
    </row>
    <row r="610" ht="12.75">
      <c r="A610" t="s">
        <v>687</v>
      </c>
    </row>
    <row r="611" ht="12.75">
      <c r="A611" t="s">
        <v>282</v>
      </c>
    </row>
    <row r="612" ht="12.75">
      <c r="A612"/>
    </row>
    <row r="613" ht="12.75">
      <c r="A613" t="s">
        <v>282</v>
      </c>
    </row>
    <row r="614" ht="12.75">
      <c r="A614" t="s">
        <v>688</v>
      </c>
    </row>
    <row r="615" ht="12.75">
      <c r="A615" t="s">
        <v>524</v>
      </c>
    </row>
    <row r="616" ht="12.75">
      <c r="A616" t="s">
        <v>689</v>
      </c>
    </row>
    <row r="617" ht="12.75">
      <c r="A617" t="s">
        <v>690</v>
      </c>
    </row>
    <row r="618" ht="12.75">
      <c r="A618" t="s">
        <v>691</v>
      </c>
    </row>
    <row r="619" ht="12.75">
      <c r="A619" t="s">
        <v>692</v>
      </c>
    </row>
    <row r="620" ht="12.75">
      <c r="A620"/>
    </row>
    <row r="621" ht="12.75">
      <c r="A621" t="str">
        <f>CONCATENATE('NIDS Opticall table'!$B$94,"=",'NIDS Opticall table'!$C$94)</f>
        <v>SYSTEM_AUTO_RESTART_DELAY_CA=10</v>
      </c>
    </row>
    <row r="622" ht="12.75">
      <c r="A622" t="str">
        <f>CONCATENATE('NIDS Opticall table'!$B$95,"=",'NIDS Opticall table'!$C$95)</f>
        <v>SYSTEM_AUTO_RESTART_DELAY_FSAIN=10</v>
      </c>
    </row>
    <row r="623" ht="12.75">
      <c r="A623" t="str">
        <f>CONCATENATE('NIDS Opticall table'!$B$96,"=",'NIDS Opticall table'!$C$96)</f>
        <v>SYSTEM_AUTO_RESTART_DELAY_FSPOTS=10</v>
      </c>
    </row>
    <row r="624" ht="12.75">
      <c r="A624" t="str">
        <f>CONCATENATE('NIDS Opticall table'!$B$97,"=",'NIDS Opticall table'!$C$97)</f>
        <v>SYSTEM_AUTO_RESTART_DELAY_EMS=10</v>
      </c>
    </row>
    <row r="625" ht="12.75">
      <c r="A625" t="str">
        <f>CONCATENATE('NIDS Opticall table'!$B$98,"=",'NIDS Opticall table'!$C$98)</f>
        <v>SYSTEM_AUTO_RESTART_DELAY_BMS=10</v>
      </c>
    </row>
    <row r="626" ht="12.75">
      <c r="A626"/>
    </row>
    <row r="627" ht="12.75">
      <c r="A627" t="str">
        <f>CONCATENATE('NIDS Opticall table'!$B$99,"=",'NIDS Opticall table'!$C$99)</f>
        <v>SYSTEM_AUTO_RESTART_RATE_CA=3</v>
      </c>
    </row>
    <row r="628" ht="12.75">
      <c r="A628" t="str">
        <f>CONCATENATE('NIDS Opticall table'!$B$100,"=",'NIDS Opticall table'!$C$100)</f>
        <v>SYSTEM_AUTO_RESTART_RATE_FSAIN=3</v>
      </c>
    </row>
    <row r="629" ht="12.75">
      <c r="A629" t="str">
        <f>CONCATENATE('NIDS Opticall table'!$B$101,"=",'NIDS Opticall table'!$C$101)</f>
        <v>SYSTEM_AUTO_RESTART_RATE_FSPOTS=3</v>
      </c>
    </row>
    <row r="630" ht="12.75">
      <c r="A630" t="str">
        <f>CONCATENATE('NIDS Opticall table'!$B$102,"=",'NIDS Opticall table'!$C$102)</f>
        <v>SYSTEM_AUTO_RESTART_RATE_EMS=3</v>
      </c>
    </row>
    <row r="631" ht="12.75">
      <c r="A631" t="str">
        <f>CONCATENATE('NIDS Opticall table'!$B$103,"=",'NIDS Opticall table'!$C$103)</f>
        <v>SYSTEM_AUTO_RESTART_RATE_BMS=3</v>
      </c>
    </row>
    <row r="632" ht="12.75">
      <c r="A632"/>
    </row>
    <row r="633" ht="12.75">
      <c r="A633" t="s">
        <v>693</v>
      </c>
    </row>
    <row r="634" ht="12.75">
      <c r="A634" t="s">
        <v>282</v>
      </c>
    </row>
    <row r="635" ht="12.75">
      <c r="A635"/>
    </row>
    <row r="636" ht="12.75">
      <c r="A636" s="155" t="s">
        <v>166</v>
      </c>
    </row>
    <row r="637" ht="12.75">
      <c r="A637" s="155" t="s">
        <v>167</v>
      </c>
    </row>
    <row r="638" ht="12.75">
      <c r="A638" s="155" t="s">
        <v>656</v>
      </c>
    </row>
    <row r="639" ht="12.75">
      <c r="A639" s="155" t="s">
        <v>524</v>
      </c>
    </row>
    <row r="640" ht="12.75">
      <c r="A640" s="155" t="s">
        <v>168</v>
      </c>
    </row>
    <row r="641" ht="12.75">
      <c r="A641" s="155" t="s">
        <v>524</v>
      </c>
    </row>
    <row r="642" ht="12.75">
      <c r="A642" s="155" t="s">
        <v>169</v>
      </c>
    </row>
    <row r="643" ht="12.75">
      <c r="A643" s="155" t="s">
        <v>170</v>
      </c>
    </row>
    <row r="644" ht="12.75">
      <c r="A644" s="155" t="s">
        <v>524</v>
      </c>
    </row>
    <row r="645" ht="12.75">
      <c r="A645" s="155" t="s">
        <v>171</v>
      </c>
    </row>
    <row r="646" ht="12.75">
      <c r="A646" s="155" t="s">
        <v>524</v>
      </c>
    </row>
    <row r="647" ht="12.75">
      <c r="A647" s="155" t="s">
        <v>172</v>
      </c>
    </row>
    <row r="648" ht="12.75">
      <c r="A648" s="155" t="s">
        <v>524</v>
      </c>
    </row>
    <row r="649" ht="12.75">
      <c r="A649" s="155" t="s">
        <v>173</v>
      </c>
    </row>
    <row r="650" ht="12.75">
      <c r="A650" s="155" t="s">
        <v>174</v>
      </c>
    </row>
    <row r="651" ht="12.75">
      <c r="A651" s="155" t="s">
        <v>175</v>
      </c>
    </row>
    <row r="652" ht="12.75">
      <c r="A652" s="155" t="s">
        <v>176</v>
      </c>
    </row>
    <row r="653" ht="12.75">
      <c r="A653" s="155" t="s">
        <v>160</v>
      </c>
    </row>
    <row r="654" ht="12.75">
      <c r="A654" s="155" t="s">
        <v>161</v>
      </c>
    </row>
    <row r="655" ht="12.75">
      <c r="A655" s="154"/>
    </row>
    <row r="656" ht="12.75">
      <c r="A656" t="str">
        <f>CONCATENATE('NIDS Opticall table'!$B$89,"=",'NIDS Opticall table'!$C$89)</f>
        <v>SHARED_MEMORY_BACKUP_START_TIME_CA=22:00</v>
      </c>
    </row>
    <row r="657" ht="12.75">
      <c r="A657" t="str">
        <f>CONCATENATE('NIDS Opticall table'!$B$90,"=",'NIDS Opticall table'!$C$90)</f>
        <v>SHARED_MEMORY_BACKUP_START_TIME_FSAIN=22:15</v>
      </c>
    </row>
    <row r="658" ht="12.75">
      <c r="A658" t="str">
        <f>CONCATENATE('NIDS Opticall table'!$B$91,"=",'NIDS Opticall table'!$C$91)</f>
        <v>SHARED_MEMORY_BACKUP_START_TIME_FSPTC=22:30</v>
      </c>
    </row>
    <row r="659" ht="12.75">
      <c r="A659" t="str">
        <f>CONCATENATE('NIDS Opticall table'!$B$92,"=",'NIDS Opticall table'!$C$92)</f>
        <v>SHARED_MEMORY_BACKUP_START_TIME_EMS=22:00</v>
      </c>
    </row>
    <row r="660" ht="12.75">
      <c r="A660" t="str">
        <f>CONCATENATE('NIDS Opticall table'!$B$93,"=",'NIDS Opticall table'!$C$93)</f>
        <v>SHARED_MEMORY_BACKUP_START_TIME_BDMS=22:15</v>
      </c>
    </row>
    <row r="661" ht="12.75">
      <c r="A661"/>
    </row>
    <row r="662" ht="13.5">
      <c r="A662" s="93" t="s">
        <v>367</v>
      </c>
    </row>
    <row r="663" ht="13.5">
      <c r="A663" s="93" t="s">
        <v>282</v>
      </c>
    </row>
    <row r="664" ht="13.5">
      <c r="A664" s="93"/>
    </row>
    <row r="665" ht="13.5">
      <c r="A665" s="93"/>
    </row>
    <row r="666" ht="13.5">
      <c r="A666" s="93" t="s">
        <v>523</v>
      </c>
    </row>
    <row r="667" ht="13.5">
      <c r="A667" s="93" t="s">
        <v>577</v>
      </c>
    </row>
    <row r="668" ht="13.5">
      <c r="A668" s="93" t="s">
        <v>578</v>
      </c>
    </row>
    <row r="669" ht="13.5">
      <c r="A669" s="93" t="s">
        <v>577</v>
      </c>
    </row>
    <row r="670" ht="13.5">
      <c r="A670" s="93" t="s">
        <v>523</v>
      </c>
    </row>
    <row r="671" ht="13.5">
      <c r="A671" s="93"/>
    </row>
    <row r="672" ht="13.5">
      <c r="A672" s="93"/>
    </row>
  </sheetData>
  <sheetProtection sheet="1" objects="1" scenarios="1"/>
  <printOptions/>
  <pageMargins left="0.75" right="0.75" top="0.6" bottom="0.79" header="0.28" footer="0.17"/>
  <pageSetup horizontalDpi="600" verticalDpi="600" orientation="portrait" r:id="rId1"/>
  <headerFooter alignWithMargins="0">
    <oddFooter>&amp;LCisco Systems, Inc. Confidential&amp;C&amp;A&amp;R&amp;D   Page &amp;P of &amp;N</oddFooter>
  </headerFooter>
</worksheet>
</file>

<file path=xl/worksheets/sheet6.xml><?xml version="1.0" encoding="utf-8"?>
<worksheet xmlns="http://schemas.openxmlformats.org/spreadsheetml/2006/main" xmlns:r="http://schemas.openxmlformats.org/officeDocument/2006/relationships">
  <dimension ref="A1:A39"/>
  <sheetViews>
    <sheetView showGridLines="0" workbookViewId="0" topLeftCell="A1">
      <selection activeCell="A8" sqref="A8:IV8"/>
    </sheetView>
  </sheetViews>
  <sheetFormatPr defaultColWidth="9.140625" defaultRowHeight="12.75"/>
  <cols>
    <col min="1" max="1" width="100.7109375" style="92" customWidth="1"/>
    <col min="2" max="16384" width="0" style="94" hidden="1" customWidth="1"/>
  </cols>
  <sheetData>
    <row r="1" ht="13.5">
      <c r="A1" s="93" t="s">
        <v>517</v>
      </c>
    </row>
    <row r="2" ht="13.5">
      <c r="A2" s="93" t="str">
        <f>CONCATENATE("PRICA_NAME=",'NIDS Data Entry + Netwk tables'!$C$31)</f>
        <v>PRICA_NAME=prica</v>
      </c>
    </row>
    <row r="3" ht="13.5">
      <c r="A3" s="93" t="str">
        <f>CONCATENATE("SECCA_NAME=",'NIDS Data Entry + Netwk tables'!$C$33)</f>
        <v>SECCA_NAME=secca</v>
      </c>
    </row>
    <row r="4" ht="13.5">
      <c r="A4" s="93" t="str">
        <f>CONCATENATE("PRIEMS_NAME=",'NIDS Data Entry + Netwk tables'!$C$32)</f>
        <v>PRIEMS_NAME=priems</v>
      </c>
    </row>
    <row r="5" ht="13.5">
      <c r="A5" s="93" t="str">
        <f>CONCATENATE("SECEMS_NAME=",'NIDS Data Entry + Netwk tables'!$C$34)</f>
        <v>SECEMS_NAME=secems</v>
      </c>
    </row>
    <row r="6" ht="13.5">
      <c r="A6" s="93"/>
    </row>
    <row r="7" ht="13.5">
      <c r="A7" s="93" t="s">
        <v>419</v>
      </c>
    </row>
    <row r="8" ht="13.5">
      <c r="A8" s="93" t="str">
        <f>CONCATENATE("M_NETWORK1=",'NIDS Data Entry + Netwk tables'!$C$18)</f>
        <v>M_NETWORK1=10.89.223</v>
      </c>
    </row>
    <row r="9" ht="13.5">
      <c r="A9" s="93" t="str">
        <f>CONCATENATE("M_NETWORK2=",'NIDS Data Entry + Netwk tables'!$C$19)</f>
        <v>M_NETWORK2=10.89.224</v>
      </c>
    </row>
    <row r="10" ht="13.5">
      <c r="A10" s="93"/>
    </row>
    <row r="11" ht="13.5">
      <c r="A11" s="93" t="s">
        <v>555</v>
      </c>
    </row>
    <row r="12" ht="13.5">
      <c r="A12" s="93" t="s">
        <v>518</v>
      </c>
    </row>
    <row r="13" ht="13.5">
      <c r="A13" s="93" t="s">
        <v>519</v>
      </c>
    </row>
    <row r="14" ht="13.5">
      <c r="A14" s="93" t="s">
        <v>520</v>
      </c>
    </row>
    <row r="15" ht="13.5">
      <c r="A15" s="93"/>
    </row>
    <row r="16" ht="13.5">
      <c r="A16" s="93" t="str">
        <f>CONCATENATE("M_NETWORK1_NETMASK=",'NIDS Data Entry + Netwk tables'!$C$20)</f>
        <v>M_NETWORK1_NETMASK=255.255.255.0</v>
      </c>
    </row>
    <row r="17" ht="13.5">
      <c r="A17" s="93" t="str">
        <f>CONCATENATE("M_NETWORK2_NETMASK=",'NIDS Data Entry + Netwk tables'!$C$21)</f>
        <v>M_NETWORK2_NETMASK=255.255.255.0</v>
      </c>
    </row>
    <row r="18" ht="13.5">
      <c r="A18" s="93"/>
    </row>
    <row r="19" ht="13.5">
      <c r="A19" s="93" t="s">
        <v>420</v>
      </c>
    </row>
    <row r="20" ht="13.5">
      <c r="A20" s="93" t="str">
        <f>CONCATENATE("S_NETWORK1=",'NIDS Data Entry + Netwk tables'!$C$24)</f>
        <v>S_NETWORK1=10.89.225</v>
      </c>
    </row>
    <row r="21" ht="13.5">
      <c r="A21" s="93" t="str">
        <f>CONCATENATE("S_NETWORK2=",'NIDS Data Entry + Netwk tables'!$C$25)</f>
        <v>S_NETWORK2=10.89.226</v>
      </c>
    </row>
    <row r="22" ht="13.5">
      <c r="A22" s="93"/>
    </row>
    <row r="23" ht="13.5">
      <c r="A23" s="93" t="s">
        <v>421</v>
      </c>
    </row>
    <row r="24" ht="13.5">
      <c r="A24" s="93" t="s">
        <v>518</v>
      </c>
    </row>
    <row r="25" ht="13.5">
      <c r="A25" s="93" t="s">
        <v>519</v>
      </c>
    </row>
    <row r="26" ht="13.5">
      <c r="A26" s="93" t="s">
        <v>520</v>
      </c>
    </row>
    <row r="27" ht="13.5">
      <c r="A27" s="93"/>
    </row>
    <row r="28" ht="13.5">
      <c r="A28" s="93" t="str">
        <f>CONCATENATE("S_NETWORK1_NETMASK=",'NIDS Data Entry + Netwk tables'!$C$26)</f>
        <v>S_NETWORK1_NETMASK=255.255.255.0</v>
      </c>
    </row>
    <row r="29" ht="13.5">
      <c r="A29" s="93" t="str">
        <f>CONCATENATE("S_NETWORK2_NETMASK=",'NIDS Data Entry + Netwk tables'!$C$27)</f>
        <v>S_NETWORK2_NETMASK=255.255.255.0</v>
      </c>
    </row>
    <row r="30" ht="13.5">
      <c r="A30" s="93"/>
    </row>
    <row r="31" ht="13.5">
      <c r="A31" s="93" t="s">
        <v>521</v>
      </c>
    </row>
    <row r="32" ht="13.5">
      <c r="A32" s="93" t="str">
        <f>CONCATENATE("INTERNALN=",'NIDS Data Entry + Netwk tables'!$C$35)</f>
        <v>INTERNALN=10.10</v>
      </c>
    </row>
    <row r="33" ht="13.5">
      <c r="A33" s="93"/>
    </row>
    <row r="34" ht="13.5">
      <c r="A34" s="93" t="s">
        <v>522</v>
      </c>
    </row>
    <row r="35" ht="13.5">
      <c r="A35" s="93" t="str">
        <f>CONCATENATE("PRICA_EXTERN_ENDFIX=",'NIDS Data Entry + Netwk tables'!$G$67)</f>
        <v>PRICA_EXTERN_ENDFIX=12</v>
      </c>
    </row>
    <row r="36" ht="13.5">
      <c r="A36" s="93" t="str">
        <f>CONCATENATE("SECCA_EXTERN_ENDFIX=",'NIDS Data Entry + Netwk tables'!$G$68)</f>
        <v>SECCA_EXTERN_ENDFIX=13</v>
      </c>
    </row>
    <row r="37" ht="13.5">
      <c r="A37" s="93" t="str">
        <f>CONCATENATE("PRIEMS_EXTERN_ENDFIX=",'NIDS Data Entry + Netwk tables'!$G$65)</f>
        <v>PRIEMS_EXTERN_ENDFIX=10</v>
      </c>
    </row>
    <row r="38" ht="13.5">
      <c r="A38" s="93" t="str">
        <f>CONCATENATE("SECEMS_EXTERN_ENDFIX=",'NIDS Data Entry + Netwk tables'!$G$66)</f>
        <v>SECEMS_EXTERN_ENDFIX=11</v>
      </c>
    </row>
    <row r="39" ht="13.5">
      <c r="A39" s="93"/>
    </row>
  </sheetData>
  <sheetProtection sheet="1" objects="1" scenarios="1"/>
  <printOptions/>
  <pageMargins left="0.75" right="0.75" top="1" bottom="1" header="0.5" footer="0.5"/>
  <pageSetup horizontalDpi="600" verticalDpi="600" orientation="portrait" r:id="rId1"/>
  <headerFooter alignWithMargins="0">
    <oddFooter>&amp;LCisco Systems, Inc. Confidential&amp;C&amp;A&amp;R&amp;D   Page &amp;P of &amp;N</oddFooter>
  </headerFooter>
</worksheet>
</file>

<file path=xl/worksheets/sheet7.xml><?xml version="1.0" encoding="utf-8"?>
<worksheet xmlns="http://schemas.openxmlformats.org/spreadsheetml/2006/main" xmlns:r="http://schemas.openxmlformats.org/officeDocument/2006/relationships">
  <dimension ref="A1:B133"/>
  <sheetViews>
    <sheetView showGridLines="0" workbookViewId="0" topLeftCell="A106">
      <selection activeCell="A129" sqref="A129"/>
    </sheetView>
  </sheetViews>
  <sheetFormatPr defaultColWidth="9.140625" defaultRowHeight="12.75"/>
  <cols>
    <col min="1" max="1" width="98.8515625" style="69" bestFit="1" customWidth="1"/>
    <col min="2" max="16384" width="9.140625" style="69" hidden="1" customWidth="1"/>
  </cols>
  <sheetData>
    <row r="1" spans="1:2" ht="13.5">
      <c r="A1" s="93" t="s">
        <v>617</v>
      </c>
      <c r="B1" s="69">
        <f>LEN('NIDS Data Entry + Netwk tables'!C11)+LEN('NIDS Data Entry + Netwk tables'!C30)+10+5</f>
        <v>36</v>
      </c>
    </row>
    <row r="2" ht="13.5">
      <c r="A2" s="93" t="s">
        <v>618</v>
      </c>
    </row>
    <row r="3" ht="13.5">
      <c r="A3" s="93" t="str">
        <f>CONCATENATE("## Forward Cisco CNR DNS load file for BTS Installation:  ",'NIDS Data Entry + Netwk tables'!C11)</f>
        <v>## Forward Cisco CNR DNS load file for BTS Installation:  MAIN-ST</v>
      </c>
    </row>
    <row r="4" ht="13.5">
      <c r="A4" s="93" t="s">
        <v>618</v>
      </c>
    </row>
    <row r="5" ht="13.5">
      <c r="A5" s="93" t="s">
        <v>617</v>
      </c>
    </row>
    <row r="6" ht="13.5">
      <c r="A6" s="93"/>
    </row>
    <row r="7" ht="13.5">
      <c r="A7" s="93" t="str">
        <f>CONCATENATE("zone ",RIGHT('NIDS DNS table'!$B$8,LEN('NIDS DNS table'!$B$8)-FIND(".",'NIDS DNS table'!$B$8,1)),". addRR ",LEFT('NIDS DNS table'!$B$8,FIND(".",'NIDS DNS table'!$B$8,1)-1)," A ",'NIDS DNS table'!$C$8)</f>
        <v>zone name.cisco.com. addRR priems A 10.89.223.10</v>
      </c>
    </row>
    <row r="8" ht="13.5">
      <c r="A8" s="93" t="str">
        <f>CONCATENATE("zone ",RIGHT('NIDS DNS table'!$B$8,LEN('NIDS DNS table'!$B$8)-FIND(".",'NIDS DNS table'!$B$8,1)),". addRR ",LEFT('NIDS DNS table'!$B$8,FIND(".",'NIDS DNS table'!$B$8,1)-1)," A ",'NIDS DNS table'!$C$9)</f>
        <v>zone name.cisco.com. addRR priems A 10.89.224.10</v>
      </c>
    </row>
    <row r="9" ht="13.5">
      <c r="A9" s="93" t="str">
        <f>CONCATENATE("zone ",RIGHT('NIDS DNS table'!$B$10,LEN('NIDS DNS table'!$B$10)-FIND(".",'NIDS DNS table'!$B$10,1)),". addRR ",LEFT('NIDS DNS table'!$B$10,FIND(".",'NIDS DNS table'!$B$10,1)-1)," A ",'NIDS DNS table'!$C$10)</f>
        <v>zone name.cisco.com. addRR secems A 10.89.223.11</v>
      </c>
    </row>
    <row r="10" ht="13.5">
      <c r="A10" s="93" t="str">
        <f>CONCATENATE("zone ",RIGHT('NIDS DNS table'!$B$10,LEN('NIDS DNS table'!$B$10)-FIND(".",'NIDS DNS table'!$B$10,1)),". addRR ",LEFT('NIDS DNS table'!$B$10,FIND(".",'NIDS DNS table'!$B$10,1)-1)," A ",'NIDS DNS table'!$C$11)</f>
        <v>zone name.cisco.com. addRR secems A 10.89.224.11</v>
      </c>
    </row>
    <row r="11" ht="13.5">
      <c r="A11" s="93" t="str">
        <f>CONCATENATE("zone ",RIGHT('NIDS DNS table'!$B$12,LEN('NIDS DNS table'!$B$12)-FIND(".",'NIDS DNS table'!$B$12,1)),". addRR ",LEFT('NIDS DNS table'!$B$12,FIND(".",'NIDS DNS table'!$B$12,1)-1)," A ",'NIDS DNS table'!$C$12)</f>
        <v>zone name.cisco.com. addRR prica A 10.89.223.12</v>
      </c>
    </row>
    <row r="12" ht="13.5">
      <c r="A12" s="93" t="str">
        <f>CONCATENATE("zone ",RIGHT('NIDS DNS table'!$B$12,LEN('NIDS DNS table'!$B$12)-FIND(".",'NIDS DNS table'!$B$12,1)),". addRR ",LEFT('NIDS DNS table'!$B$12,FIND(".",'NIDS DNS table'!$B$12,1)-1)," A ",'NIDS DNS table'!$C$13)</f>
        <v>zone name.cisco.com. addRR prica A 10.89.224.12</v>
      </c>
    </row>
    <row r="13" ht="13.5">
      <c r="A13" s="93" t="str">
        <f>CONCATENATE("zone ",RIGHT('NIDS DNS table'!$B$14,LEN('NIDS DNS table'!$B$14)-FIND(".",'NIDS DNS table'!$B$14,1)),". addRR ",LEFT('NIDS DNS table'!$B$14,FIND(".",'NIDS DNS table'!$B$14,1)-1)," A ",'NIDS DNS table'!$C$14)</f>
        <v>zone name.cisco.com. addRR secca A 10.89.223.13</v>
      </c>
    </row>
    <row r="14" ht="13.5">
      <c r="A14" s="93" t="str">
        <f>CONCATENATE("zone ",RIGHT('NIDS DNS table'!$B$14,LEN('NIDS DNS table'!$B$14)-FIND(".",'NIDS DNS table'!$B$14,1)),". addRR ",LEFT('NIDS DNS table'!$B$14,FIND(".",'NIDS DNS table'!$B$14,1)-1)," A ",'NIDS DNS table'!$C$15)</f>
        <v>zone name.cisco.com. addRR secca A 10.89.224.13</v>
      </c>
    </row>
    <row r="15" ht="13.5">
      <c r="A15" s="93" t="str">
        <f>CONCATENATE("zone ",RIGHT('NIDS DNS table'!$B$16,LEN('NIDS DNS table'!$B$16)-FIND(".",'NIDS DNS table'!$B$16,1)),". addRR ",LEFT('NIDS DNS table'!$B$16,FIND(".",'NIDS DNS table'!$B$16,1)-1)," A ",'NIDS DNS table'!$C$16)</f>
        <v>zone name.cisco.com. addRR broker-MAIN-ST A 10.89.225.254</v>
      </c>
    </row>
    <row r="16" ht="13.5">
      <c r="A16" s="93" t="str">
        <f>CONCATENATE("zone ",RIGHT('NIDS DNS table'!$B$16,LEN('NIDS DNS table'!$B$16)-FIND(".",'NIDS DNS table'!$B$16,1)),". addRR ",LEFT('NIDS DNS table'!$B$16,FIND(".",'NIDS DNS table'!$B$16,1)-1)," A ",'NIDS DNS table'!$C$17)</f>
        <v>zone name.cisco.com. addRR broker-MAIN-ST A 10.89.226.254</v>
      </c>
    </row>
    <row r="17" ht="13.5">
      <c r="A17" s="93" t="str">
        <f>CONCATENATE("zone ",RIGHT('NIDS DNS table'!$B$18,LEN('NIDS DNS table'!$B$18)-FIND(".",'NIDS DNS table'!$B$18,1)),". addRR ",LEFT('NIDS DNS table'!$B$18,FIND(".",'NIDS DNS table'!$B$18,1)-1)," A ",'NIDS DNS table'!$C$18)</f>
        <v>zone name.cisco.com. addRR brokerems-MAIN-ST A 10.89.223.254</v>
      </c>
    </row>
    <row r="18" ht="13.5">
      <c r="A18" s="93" t="str">
        <f>CONCATENATE("zone ",RIGHT('NIDS DNS table'!$B$18,LEN('NIDS DNS table'!$B$18)-FIND(".",'NIDS DNS table'!$B$18,1)),". addRR ",LEFT('NIDS DNS table'!$B$18,FIND(".",'NIDS DNS table'!$B$18,1)-1)," A ",'NIDS DNS table'!$C$19)</f>
        <v>zone name.cisco.com. addRR brokerems-MAIN-ST A 10.89.224.254</v>
      </c>
    </row>
    <row r="19" ht="13.5">
      <c r="A19" s="93" t="str">
        <f>CONCATENATE("zone ",RIGHT('NIDS DNS table'!$B$44,LEN('NIDS DNS table'!$B$44)-FIND(".",'NIDS DNS table'!$B$44,1)),". addRR ",LEFT('NIDS DNS table'!$B$44,FIND(".",'NIDS DNS table'!$B$44,1)-1)," A ",'NIDS DNS table'!$C$44)</f>
        <v>zone name.cisco.com. addRR sia-MAIN-STCA A 10.89.225.12</v>
      </c>
    </row>
    <row r="20" ht="13.5">
      <c r="A20" s="93" t="str">
        <f>CONCATENATE("zone ",RIGHT('NIDS DNS table'!$B$44,LEN('NIDS DNS table'!$B$44)-FIND(".",'NIDS DNS table'!$B$44,1)),". addRR ",LEFT('NIDS DNS table'!$B$44,FIND(".",'NIDS DNS table'!$B$44,1)-1)," A ",'NIDS DNS table'!$C$45)</f>
        <v>zone name.cisco.com. addRR sia-MAIN-STCA A 10.89.226.12</v>
      </c>
    </row>
    <row r="21" ht="13.5">
      <c r="A21" s="93" t="str">
        <f>CONCATENATE("zone ",RIGHT('NIDS DNS table'!$B$44,LEN('NIDS DNS table'!$B$44)-FIND(".",'NIDS DNS table'!$B$44,1)),". addRR ",LEFT('NIDS DNS table'!$B$44,FIND(".",'NIDS DNS table'!$B$44,1)-1)," A ",'NIDS DNS table'!$C$46)</f>
        <v>zone name.cisco.com. addRR sia-MAIN-STCA A 10.89.225.13</v>
      </c>
    </row>
    <row r="22" ht="13.5">
      <c r="A22" s="93" t="str">
        <f>CONCATENATE("zone ",RIGHT('NIDS DNS table'!$B$44,LEN('NIDS DNS table'!$B$44)-FIND(".",'NIDS DNS table'!$B$44,1)),". addRR ",LEFT('NIDS DNS table'!$B$44,FIND(".",'NIDS DNS table'!$B$44,1)-1)," A ",'NIDS DNS table'!$C$47)</f>
        <v>zone name.cisco.com. addRR sia-MAIN-STCA A 10.89.226.13</v>
      </c>
    </row>
    <row r="23" ht="13.5">
      <c r="A23" s="93" t="str">
        <f>CONCATENATE("zone ",RIGHT('NIDS DNS table'!$B$48,LEN('NIDS DNS table'!$B$48)-FIND(".",'NIDS DNS table'!$B$48,1)),". addRR ",LEFT('NIDS DNS table'!$B$48,FIND(".",'NIDS DNS table'!$B$48,1)-1)," A ",'NIDS DNS table'!$C$48)</f>
        <v>zone name.cisco.com. addRR mgcp-MAIN-STCA146 A 10.89.225.14</v>
      </c>
    </row>
    <row r="24" ht="13.5">
      <c r="A24" s="93" t="str">
        <f>CONCATENATE("zone ",RIGHT('NIDS DNS table'!$B$48,LEN('NIDS DNS table'!$B$48)-FIND(".",'NIDS DNS table'!$B$48,1)),". addRR ",LEFT('NIDS DNS table'!$B$48,FIND(".",'NIDS DNS table'!$B$48,1)-1)," A ",'NIDS DNS table'!$C$49)</f>
        <v>zone name.cisco.com. addRR mgcp-MAIN-STCA146 A 10.89.226.14</v>
      </c>
    </row>
    <row r="25" ht="13.5">
      <c r="A25" s="93" t="str">
        <f>CONCATENATE("zone ",RIGHT('NIDS DNS table'!$B$50,LEN('NIDS DNS table'!$B$50)-FIND(".",'NIDS DNS table'!$B$50,1)),". addRR ",LEFT('NIDS DNS table'!$B$50,FIND(".",'NIDS DNS table'!$B$50,1)-1)," A ",'NIDS DNS table'!$C$50)</f>
        <v>zone name.cisco.com. addRR crit-aMAIN-STCA A 10.89.225.12</v>
      </c>
    </row>
    <row r="26" ht="13.5">
      <c r="A26" s="93" t="str">
        <f>CONCATENATE("zone ",RIGHT('NIDS DNS table'!$B$50,LEN('NIDS DNS table'!$B$50)-FIND(".",'NIDS DNS table'!$B$50,1)),". addRR ",LEFT('NIDS DNS table'!$B$50,FIND(".",'NIDS DNS table'!$B$50,1)-1)," A ",'NIDS DNS table'!$C$51)</f>
        <v>zone name.cisco.com. addRR crit-aMAIN-STCA A 10.89.226.12</v>
      </c>
    </row>
    <row r="27" ht="13.5">
      <c r="A27" s="93" t="str">
        <f>CONCATENATE("zone ",RIGHT('NIDS DNS table'!$B$52,LEN('NIDS DNS table'!$B$52)-FIND(".",'NIDS DNS table'!$B$52,1)),". addRR ",LEFT('NIDS DNS table'!$B$52,FIND(".",'NIDS DNS table'!$B$52,1)-1)," A ",'NIDS DNS table'!$C$52)</f>
        <v>zone name.cisco.com. addRR crit-bMAIN-STCA A 10.89.225.13</v>
      </c>
    </row>
    <row r="28" ht="13.5">
      <c r="A28" s="93" t="str">
        <f>CONCATENATE("zone ",RIGHT('NIDS DNS table'!$B$52,LEN('NIDS DNS table'!$B$52)-FIND(".",'NIDS DNS table'!$B$52,1)),". addRR ",LEFT('NIDS DNS table'!$B$52,FIND(".",'NIDS DNS table'!$B$52,1)-1)," A ",'NIDS DNS table'!$C$53)</f>
        <v>zone name.cisco.com. addRR crit-bMAIN-STCA A 10.89.226.13</v>
      </c>
    </row>
    <row r="29" ht="13.5">
      <c r="A29" s="93" t="str">
        <f>CONCATENATE("zone ",RIGHT('NIDS DNS table'!$B$54,LEN('NIDS DNS table'!$B$54)-FIND(".",'NIDS DNS table'!$B$54,1)),". addRR ",LEFT('NIDS DNS table'!$B$54,FIND(".",'NIDS DNS table'!$B$54,1)-1)," A ",'NIDS DNS table'!$C$54)</f>
        <v>zone name.cisco.com. addRR sia-MAIN-STCA A 10.89.225.12</v>
      </c>
    </row>
    <row r="30" ht="13.5">
      <c r="A30" s="93" t="str">
        <f>CONCATENATE("zone ",RIGHT('NIDS DNS table'!$B$54,LEN('NIDS DNS table'!$B$54)-FIND(".",'NIDS DNS table'!$B$54,1)),". addRR ",LEFT('NIDS DNS table'!$B$54,FIND(".",'NIDS DNS table'!$B$54,1)-1)," A ",'NIDS DNS table'!$C$55)</f>
        <v>zone name.cisco.com. addRR sia-MAIN-STCA A 10.89.226.12</v>
      </c>
    </row>
    <row r="31" ht="13.5">
      <c r="A31" s="93" t="str">
        <f>CONCATENATE("zone ",RIGHT('NIDS DNS table'!$B$54,LEN('NIDS DNS table'!$B$54)-FIND(".",'NIDS DNS table'!$B$54,1)),". addRR ",LEFT('NIDS DNS table'!$B$54,FIND(".",'NIDS DNS table'!$B$54,1)-1)," A ",'NIDS DNS table'!$C$56)</f>
        <v>zone name.cisco.com. addRR sia-MAIN-STCA A 10.89.225.13</v>
      </c>
    </row>
    <row r="32" ht="13.5">
      <c r="A32" s="93" t="str">
        <f>CONCATENATE("zone ",RIGHT('NIDS DNS table'!$B$54,LEN('NIDS DNS table'!$B$54)-FIND(".",'NIDS DNS table'!$B$54,1)),". addRR ",LEFT('NIDS DNS table'!$B$54,FIND(".",'NIDS DNS table'!$B$54,1)-1)," A ",'NIDS DNS table'!$C$57)</f>
        <v>zone name.cisco.com. addRR sia-MAIN-STCA A 10.89.226.13</v>
      </c>
    </row>
    <row r="33" ht="13.5">
      <c r="A33" s="93" t="str">
        <f>CONCATENATE("zone ",RIGHT('NIDS DNS table'!$B$58,LEN('NIDS DNS table'!$B$58)-FIND(".",'NIDS DNS table'!$B$58,1)),". addRR ",LEFT('NIDS DNS table'!$B$58,FIND(".",'NIDS DNS table'!$B$58,1)-1)," A ",'NIDS DNS table'!$C$58)</f>
        <v>zone name.cisco.com. addRR sia-MAIN-STCA146 A 10.89.225.16</v>
      </c>
    </row>
    <row r="34" ht="13.5">
      <c r="A34" s="93" t="str">
        <f>CONCATENATE("zone ",RIGHT('NIDS DNS table'!$B$58,LEN('NIDS DNS table'!$B$58)-FIND(".",'NIDS DNS table'!$B$58,1)),". addRR ",LEFT('NIDS DNS table'!$B$58,FIND(".",'NIDS DNS table'!$B$58,1)-1)," A ",'NIDS DNS table'!$C$59)</f>
        <v>zone name.cisco.com. addRR sia-MAIN-STCA146 A 10.89.226.16</v>
      </c>
    </row>
    <row r="35" ht="13.5">
      <c r="A35" s="93" t="str">
        <f>IF('NIDS Data Entry + Netwk tables'!$C$44="y",CONCATENATE("zone ",RIGHT('NIDS DNS table'!$B$60,LEN('NIDS DNS table'!$B$60)-FIND(".",'NIDS DNS table'!$B$60,1)),". addRR ",LEFT('NIDS DNS table'!$B$60,FIND(".",'NIDS DNS table'!$B$60,1)-1)," A ",'NIDS DNS table'!$C$60),"")</f>
        <v>zone name.cisco.com. addRR h3a-MAIN-STCA146 A 10.89.225.17</v>
      </c>
    </row>
    <row r="36" ht="13.5">
      <c r="A36" s="93" t="str">
        <f>IF('NIDS Data Entry + Netwk tables'!$C$44="y",CONCATENATE("zone ",RIGHT('NIDS DNS table'!$B$60,LEN('NIDS DNS table'!$B$60)-FIND(".",'NIDS DNS table'!$B$60,1)),". addRR ",LEFT('NIDS DNS table'!$B$60,FIND(".",'NIDS DNS table'!$B$60,1)-1)," A ",'NIDS DNS table'!$C$61),"")</f>
        <v>zone name.cisco.com. addRR h3a-MAIN-STCA146 A 10.89.226.17</v>
      </c>
    </row>
    <row r="37" ht="13.5">
      <c r="A37" s="93" t="str">
        <f>CONCATENATE("zone ",RIGHT('NIDS DNS table'!$B$64,LEN('NIDS DNS table'!$B$64)-FIND(".",'NIDS DNS table'!$B$64,1)),". addRR ",LEFT('NIDS DNS table'!$B$64,FIND(".",'NIDS DNS table'!$B$64,1)-1)," A ",'NIDS DNS table'!$C$64)</f>
        <v>zone name.cisco.com. addRR anm-aMAIN-STCA A 10.89.225.12</v>
      </c>
    </row>
    <row r="38" ht="13.5">
      <c r="A38" s="93" t="str">
        <f>CONCATENATE("zone ",RIGHT('NIDS DNS table'!$B$64,LEN('NIDS DNS table'!$B$64)-FIND(".",'NIDS DNS table'!$B$64,1)),". addRR ",LEFT('NIDS DNS table'!$B$64,FIND(".",'NIDS DNS table'!$B$64,1)-1)," A ",'NIDS DNS table'!$C$65)</f>
        <v>zone name.cisco.com. addRR anm-aMAIN-STCA A 10.89.226.12</v>
      </c>
    </row>
    <row r="39" ht="13.5">
      <c r="A39" s="93" t="str">
        <f>CONCATENATE("zone ",RIGHT('NIDS DNS table'!$B$66,LEN('NIDS DNS table'!$B$66)-FIND(".",'NIDS DNS table'!$B$66,1)),". addRR ",LEFT('NIDS DNS table'!$B$66,FIND(".",'NIDS DNS table'!$B$66,1)-1)," A ",'NIDS DNS table'!$C$66)</f>
        <v>zone name.cisco.com. addRR anm-bMAIN-STCA A 10.89.225.13</v>
      </c>
    </row>
    <row r="40" ht="13.5">
      <c r="A40" s="93" t="str">
        <f>CONCATENATE("zone ",RIGHT('NIDS DNS table'!$B$66,LEN('NIDS DNS table'!$B$66)-FIND(".",'NIDS DNS table'!$B$66,1)),". addRR ",LEFT('NIDS DNS table'!$B$66,FIND(".",'NIDS DNS table'!$B$66,1)-1)," A ",'NIDS DNS table'!$C$67)</f>
        <v>zone name.cisco.com. addRR anm-bMAIN-STCA A 10.89.226.13</v>
      </c>
    </row>
    <row r="41" ht="13.5">
      <c r="A41" s="93" t="str">
        <f>CONCATENATE("zone ",RIGHT('NIDS DNS table'!$B$68,LEN('NIDS DNS table'!$B$68)-FIND(".",'NIDS DNS table'!$B$68,1)),". addRR ",LEFT('NIDS DNS table'!$B$68,FIND(".",'NIDS DNS table'!$B$68,1)-1)," A ",'NIDS DNS table'!$C$68)</f>
        <v>zone name.cisco.com. addRR sga-aMAIN-STCA A 10.89.225.12</v>
      </c>
    </row>
    <row r="42" ht="13.5">
      <c r="A42" s="93" t="str">
        <f>CONCATENATE("zone ",RIGHT('NIDS DNS table'!$B$68,LEN('NIDS DNS table'!$B$68)-FIND(".",'NIDS DNS table'!$B$68,1)),". addRR ",LEFT('NIDS DNS table'!$B$68,FIND(".",'NIDS DNS table'!$B$68,1)-1)," A ",'NIDS DNS table'!$C$69)</f>
        <v>zone name.cisco.com. addRR sga-aMAIN-STCA A 10.89.226.12</v>
      </c>
    </row>
    <row r="43" ht="13.5">
      <c r="A43" s="93" t="str">
        <f>CONCATENATE("zone ",RIGHT('NIDS DNS table'!$B$70,LEN('NIDS DNS table'!$B$70)-FIND(".",'NIDS DNS table'!$B$70,1)),". addRR ",LEFT('NIDS DNS table'!$B$70,FIND(".",'NIDS DNS table'!$B$70,1)-1)," A ",'NIDS DNS table'!$C$70)</f>
        <v>zone name.cisco.com. addRR sga-bMAIN-STCA A 10.89.225.13</v>
      </c>
    </row>
    <row r="44" ht="13.5">
      <c r="A44" s="93" t="str">
        <f>CONCATENATE("zone ",RIGHT('NIDS DNS table'!$B$70,LEN('NIDS DNS table'!$B$70)-FIND(".",'NIDS DNS table'!$B$70,1)),". addRR ",LEFT('NIDS DNS table'!$B$70,FIND(".",'NIDS DNS table'!$B$70,1)-1)," A ",'NIDS DNS table'!$C$71)</f>
        <v>zone name.cisco.com. addRR sga-bMAIN-STCA A 10.89.226.13</v>
      </c>
    </row>
    <row r="45" ht="13.5">
      <c r="A45" s="93" t="str">
        <f>CONCATENATE("zone ",RIGHT('NIDS DNS table'!$B$72,LEN('NIDS DNS table'!$B$72)-FIND(".",'NIDS DNS table'!$B$72,1)),". addRR ",LEFT('NIDS DNS table'!$B$72,FIND(".",'NIDS DNS table'!$B$72,1)-1)," A ",'NIDS DNS table'!$C$72)</f>
        <v>zone name.cisco.com. addRR bsm-a1MAIN-STCA A 10.89.225.12</v>
      </c>
    </row>
    <row r="46" ht="13.5">
      <c r="A46" s="93" t="str">
        <f>CONCATENATE("zone ",RIGHT('NIDS DNS table'!$B$73,LEN('NIDS DNS table'!$B$73)-FIND(".",'NIDS DNS table'!$B$73,1)),". addRR ",LEFT('NIDS DNS table'!$B$73,FIND(".",'NIDS DNS table'!$B$73,1)-1)," A ",'NIDS DNS table'!$C$73)</f>
        <v>zone name.cisco.com. addRR bsm-a2MAIN-STCA A 10.89.226.12</v>
      </c>
    </row>
    <row r="47" ht="13.5">
      <c r="A47" s="93" t="str">
        <f>CONCATENATE("zone ",RIGHT('NIDS DNS table'!$B$74,LEN('NIDS DNS table'!$B$74)-FIND(".",'NIDS DNS table'!$B$74,1)),". addRR ",LEFT('NIDS DNS table'!$B$74,FIND(".",'NIDS DNS table'!$B$74,1)-1)," A ",'NIDS DNS table'!$C$74)</f>
        <v>zone name.cisco.com. addRR bsm-b1MAIN-STCA A 10.89.225.13</v>
      </c>
    </row>
    <row r="48" ht="13.5">
      <c r="A48" s="93" t="str">
        <f>CONCATENATE("zone ",RIGHT('NIDS DNS table'!$B$75,LEN('NIDS DNS table'!$B$75)-FIND(".",'NIDS DNS table'!$B$75,1)),". addRR ",LEFT('NIDS DNS table'!$B$75,FIND(".",'NIDS DNS table'!$B$75,1)-1)," A ",'NIDS DNS table'!$C$75)</f>
        <v>zone name.cisco.com. addRR bsm-b2MAIN-STCA A 10.89.226.13</v>
      </c>
    </row>
    <row r="49" ht="13.5">
      <c r="A49" s="93" t="str">
        <f>CONCATENATE("zone ",RIGHT('NIDS DNS table'!$B$78,LEN('NIDS DNS table'!$B$78)-FIND(".",'NIDS DNS table'!$B$78,1)),". addRR ",LEFT('NIDS DNS table'!$B$78,FIND(".",'NIDS DNS table'!$B$78,1)-1)," A ",'NIDS DNS table'!$C$78)</f>
        <v>zone name.cisco.com. addRR crit-aMAIN-STAIN A 10.89.225.12</v>
      </c>
    </row>
    <row r="50" ht="13.5">
      <c r="A50" s="93" t="str">
        <f>CONCATENATE("zone ",RIGHT('NIDS DNS table'!$B$78,LEN('NIDS DNS table'!$B$78)-FIND(".",'NIDS DNS table'!$B$78,1)),". addRR ",LEFT('NIDS DNS table'!$B$78,FIND(".",'NIDS DNS table'!$B$78,1)-1)," A ",'NIDS DNS table'!$C$79)</f>
        <v>zone name.cisco.com. addRR crit-aMAIN-STAIN A 10.89.226.12</v>
      </c>
    </row>
    <row r="51" ht="13.5">
      <c r="A51" s="93" t="str">
        <f>CONCATENATE("zone ",RIGHT('NIDS DNS table'!$B$80,LEN('NIDS DNS table'!$B$80)-FIND(".",'NIDS DNS table'!$B$80,1)),". addRR ",LEFT('NIDS DNS table'!$B$80,FIND(".",'NIDS DNS table'!$B$80,1)-1)," A ",'NIDS DNS table'!$C$80)</f>
        <v>zone name.cisco.com. addRR crit-bMAIN-STAIN A 10.89.225.13</v>
      </c>
    </row>
    <row r="52" ht="13.5">
      <c r="A52" s="93" t="str">
        <f>CONCATENATE("zone ",RIGHT('NIDS DNS table'!$B$80,LEN('NIDS DNS table'!$B$80)-FIND(".",'NIDS DNS table'!$B$80,1)),". addRR ",LEFT('NIDS DNS table'!$B$80,FIND(".",'NIDS DNS table'!$B$80,1)-1)," A ",'NIDS DNS table'!$C$81)</f>
        <v>zone name.cisco.com. addRR crit-bMAIN-STAIN A 10.89.226.13</v>
      </c>
    </row>
    <row r="53" ht="13.5">
      <c r="A53" s="93" t="str">
        <f>CONCATENATE("zone ",RIGHT('NIDS DNS table'!$B$82,LEN('NIDS DNS table'!$B$82)-FIND(".",'NIDS DNS table'!$B$82,1)),". addRR ",LEFT('NIDS DNS table'!$B$82,FIND(".",'NIDS DNS table'!$B$82,1)-1)," A ",'NIDS DNS table'!$C$82)</f>
        <v>zone name.cisco.com. addRR sgw-aMAIN-STAIN A 10.89.225.12</v>
      </c>
    </row>
    <row r="54" ht="13.5">
      <c r="A54" s="93" t="str">
        <f>CONCATENATE("zone ",RIGHT('NIDS DNS table'!$B$82,LEN('NIDS DNS table'!$B$82)-FIND(".",'NIDS DNS table'!$B$82,1)),". addRR ",LEFT('NIDS DNS table'!$B$82,FIND(".",'NIDS DNS table'!$B$82,1)-1)," A ",'NIDS DNS table'!$C$83)</f>
        <v>zone name.cisco.com. addRR sgw-aMAIN-STAIN A 10.89.226.12</v>
      </c>
    </row>
    <row r="55" ht="13.5">
      <c r="A55" s="93" t="str">
        <f>CONCATENATE("zone ",RIGHT('NIDS DNS table'!$B$84,LEN('NIDS DNS table'!$B$84)-FIND(".",'NIDS DNS table'!$B$84,1)),". addRR ",LEFT('NIDS DNS table'!$B$84,FIND(".",'NIDS DNS table'!$B$84,1)-1)," A ",'NIDS DNS table'!$C$84)</f>
        <v>zone name.cisco.com. addRR sgw-bMAIN-STAIN A 10.89.225.13</v>
      </c>
    </row>
    <row r="56" ht="13.5">
      <c r="A56" s="93" t="str">
        <f>CONCATENATE("zone ",RIGHT('NIDS DNS table'!$B$84,LEN('NIDS DNS table'!$B$84)-FIND(".",'NIDS DNS table'!$B$84,1)),". addRR ",LEFT('NIDS DNS table'!$B$84,FIND(".",'NIDS DNS table'!$B$84,1)-1)," A ",'NIDS DNS table'!$C$85)</f>
        <v>zone name.cisco.com. addRR sgw-bMAIN-STAIN A 10.89.226.13</v>
      </c>
    </row>
    <row r="57" ht="13.5">
      <c r="A57" s="93" t="str">
        <f>CONCATENATE("zone ",RIGHT('NIDS DNS table'!$B$88,LEN('NIDS DNS table'!$B$88)-FIND(".",'NIDS DNS table'!$B$88,1)),". addRR ",LEFT('NIDS DNS table'!$B$88,FIND(".",'NIDS DNS table'!$B$88,1)-1)," A ",'NIDS DNS table'!$C$88)</f>
        <v>zone name.cisco.com. addRR crit-aMAIN-STPTC A 10.89.225.12</v>
      </c>
    </row>
    <row r="58" ht="13.5">
      <c r="A58" s="93" t="str">
        <f>CONCATENATE("zone ",RIGHT('NIDS DNS table'!$B$88,LEN('NIDS DNS table'!$B$88)-FIND(".",'NIDS DNS table'!$B$88,1)),". addRR ",LEFT('NIDS DNS table'!$B$88,FIND(".",'NIDS DNS table'!$B$88,1)-1)," A ",'NIDS DNS table'!$C$89)</f>
        <v>zone name.cisco.com. addRR crit-aMAIN-STPTC A 10.89.226.12</v>
      </c>
    </row>
    <row r="59" ht="13.5">
      <c r="A59" s="93" t="str">
        <f>CONCATENATE("zone ",RIGHT('NIDS DNS table'!$B$90,LEN('NIDS DNS table'!$B$90)-FIND(".",'NIDS DNS table'!$B$90,1)),". addRR ",LEFT('NIDS DNS table'!$B$90,FIND(".",'NIDS DNS table'!$B$90,1)-1)," A ",'NIDS DNS table'!$C$90)</f>
        <v>zone name.cisco.com. addRR crit-bMAIN-STPTC A 10.89.225.13</v>
      </c>
    </row>
    <row r="60" ht="13.5">
      <c r="A60" s="93" t="str">
        <f>CONCATENATE("zone ",RIGHT('NIDS DNS table'!$B$90,LEN('NIDS DNS table'!$B$90)-FIND(".",'NIDS DNS table'!$B$90,1)),". addRR ",LEFT('NIDS DNS table'!$B$90,FIND(".",'NIDS DNS table'!$B$90,1)-1)," A ",'NIDS DNS table'!$C$91)</f>
        <v>zone name.cisco.com. addRR crit-bMAIN-STPTC A 10.89.226.13</v>
      </c>
    </row>
    <row r="61" ht="13.5">
      <c r="A61" s="93" t="str">
        <f>CONCATENATE("zone ",RIGHT('NIDS DNS table'!$B$92,LEN('NIDS DNS table'!$B$92)-FIND(".",'NIDS DNS table'!$B$92,1)),". addRR ",LEFT('NIDS DNS table'!$B$92,FIND(".",'NIDS DNS table'!$B$92,1)-1)," A ",'NIDS DNS table'!$C$92)</f>
        <v>zone name.cisco.com. addRR sgw-aMAIN-STPTC A 10.89.225.12</v>
      </c>
    </row>
    <row r="62" ht="13.5">
      <c r="A62" s="93" t="str">
        <f>CONCATENATE("zone ",RIGHT('NIDS DNS table'!$B$92,LEN('NIDS DNS table'!$B$92)-FIND(".",'NIDS DNS table'!$B$92,1)),". addRR ",LEFT('NIDS DNS table'!$B$92,FIND(".",'NIDS DNS table'!$B$92,1)-1)," A ",'NIDS DNS table'!$C$93)</f>
        <v>zone name.cisco.com. addRR sgw-aMAIN-STPTC A 10.89.226.12</v>
      </c>
    </row>
    <row r="63" ht="13.5">
      <c r="A63" s="93" t="str">
        <f>CONCATENATE("zone ",RIGHT('NIDS DNS table'!$B$94,LEN('NIDS DNS table'!$B$94)-FIND(".",'NIDS DNS table'!$B$94,1)),". addRR ",LEFT('NIDS DNS table'!$B$94,FIND(".",'NIDS DNS table'!$B$94,1)-1)," A ",'NIDS DNS table'!$C$94)</f>
        <v>zone name.cisco.com. addRR sgw-bMAIN-STPTC A 10.89.225.13</v>
      </c>
    </row>
    <row r="64" ht="13.5">
      <c r="A64" s="93" t="str">
        <f>CONCATENATE("zone ",RIGHT('NIDS DNS table'!$B$94,LEN('NIDS DNS table'!$B$94)-FIND(".",'NIDS DNS table'!$B$94,1)),". addRR ",LEFT('NIDS DNS table'!$B$94,FIND(".",'NIDS DNS table'!$B$94,1)-1)," A ",'NIDS DNS table'!$C$95)</f>
        <v>zone name.cisco.com. addRR sgw-bMAIN-STPTC A 10.89.226.13</v>
      </c>
    </row>
    <row r="65" ht="13.5">
      <c r="A65" s="93" t="str">
        <f>CONCATENATE("zone ",RIGHT('NIDS DNS table'!$B$96,LEN('NIDS DNS table'!$B$96)-FIND(".",'NIDS DNS table'!$B$96,1)),". addRR ",LEFT('NIDS DNS table'!$B$96,FIND(".",'NIDS DNS table'!$B$96,1)-1)," A ",'NIDS DNS table'!$C$96)</f>
        <v>zone name.cisco.com. addRR gfs-MAIN-STPTC235 A 10.89.225.15</v>
      </c>
    </row>
    <row r="66" ht="13.5">
      <c r="A66" s="93" t="str">
        <f>CONCATENATE("zone ",RIGHT('NIDS DNS table'!$B$96,LEN('NIDS DNS table'!$B$96)-FIND(".",'NIDS DNS table'!$B$96,1)),". addRR ",LEFT('NIDS DNS table'!$B$96,FIND(".",'NIDS DNS table'!$B$96,1)-1)," A ",'NIDS DNS table'!$C$97)</f>
        <v>zone name.cisco.com. addRR gfs-MAIN-STPTC235 A 10.89.226.15</v>
      </c>
    </row>
    <row r="67" ht="13.5">
      <c r="A67" s="93" t="str">
        <f>CONCATENATE("zone ",RIGHT('NIDS DNS table'!$B$98,LEN('NIDS DNS table'!$B$98)-FIND(".",'NIDS DNS table'!$B$98,1)),". addRR ",LEFT('NIDS DNS table'!$B$98,FIND(".",'NIDS DNS table'!$B$98,1)-1)," A ",'NIDS DNS table'!$C$98)</f>
        <v>zone name.cisco.com. addRR crit-aMAIN-STEMS A 10.89.223.10</v>
      </c>
    </row>
    <row r="68" ht="13.5">
      <c r="A68" s="93" t="str">
        <f>CONCATENATE("zone ",RIGHT('NIDS DNS table'!$B$98,LEN('NIDS DNS table'!$B$98)-FIND(".",'NIDS DNS table'!$B$98,1)),". addRR ",LEFT('NIDS DNS table'!$B$98,FIND(".",'NIDS DNS table'!$B$98,1)-1)," A ",'NIDS DNS table'!$C$99)</f>
        <v>zone name.cisco.com. addRR crit-aMAIN-STEMS A 10.89.224.10</v>
      </c>
    </row>
    <row r="69" ht="13.5">
      <c r="A69" s="93" t="str">
        <f>CONCATENATE("zone ",RIGHT('NIDS DNS table'!$B$100,LEN('NIDS DNS table'!$B$100)-FIND(".",'NIDS DNS table'!$B$100,1)),". addRR ",LEFT('NIDS DNS table'!$B$100,FIND(".",'NIDS DNS table'!$B$100,1)-1)," A ",'NIDS DNS table'!$C$100)</f>
        <v>zone name.cisco.com. addRR crit-bMAIN-STEMS A 10.89.223.11</v>
      </c>
    </row>
    <row r="70" ht="13.5">
      <c r="A70" s="93" t="str">
        <f>CONCATENATE("zone ",RIGHT('NIDS DNS table'!$B$100,LEN('NIDS DNS table'!$B$100)-FIND(".",'NIDS DNS table'!$B$100,1)),". addRR ",LEFT('NIDS DNS table'!$B$100,FIND(".",'NIDS DNS table'!$B$100,1)-1)," A ",'NIDS DNS table'!$C$101)</f>
        <v>zone name.cisco.com. addRR crit-bMAIN-STEMS A 10.89.224.11</v>
      </c>
    </row>
    <row r="71" ht="13.5">
      <c r="A71" s="93"/>
    </row>
    <row r="72" ht="13.5">
      <c r="A72" s="93"/>
    </row>
    <row r="73" ht="13.5">
      <c r="A73" s="93" t="s">
        <v>617</v>
      </c>
    </row>
    <row r="74" ht="13.5">
      <c r="A74" s="93" t="s">
        <v>619</v>
      </c>
    </row>
    <row r="75" ht="13.5">
      <c r="A75" s="93" t="s">
        <v>617</v>
      </c>
    </row>
    <row r="76" ht="13.5">
      <c r="A76" s="93" t="str">
        <f>CONCATENATE("zone ",RIGHT('NIDS DNS table'!$B$20,LEN('NIDS DNS table'!$B$20)-FIND(".",'NIDS DNS table'!$B$20,1)),". addRR ",LEFT('NIDS DNS table'!$B$20,FIND(".",'NIDS DNS table'!$B$20,1)-1)," A ",'NIDS DNS table'!$C$20)</f>
        <v>zone name.cisco.com. addRR red-aMAIN-STCA A 10.10.120.12</v>
      </c>
    </row>
    <row r="77" ht="13.5">
      <c r="A77" s="93" t="str">
        <f>CONCATENATE("zone ",RIGHT('NIDS DNS table'!$B$20,LEN('NIDS DNS table'!$B$20)-FIND(".",'NIDS DNS table'!$B$20,1)),". addRR ",LEFT('NIDS DNS table'!$B$20,FIND(".",'NIDS DNS table'!$B$20,1)-1)," A ",'NIDS DNS table'!$C$21)</f>
        <v>zone name.cisco.com. addRR red-aMAIN-STCA A 10.10.121.12</v>
      </c>
    </row>
    <row r="78" ht="13.5">
      <c r="A78" s="93" t="str">
        <f>CONCATENATE("zone ",RIGHT('NIDS DNS table'!$B$22,LEN('NIDS DNS table'!$B$22)-FIND(".",'NIDS DNS table'!$B$22,1)),". addRR ",LEFT('NIDS DNS table'!$B$22,FIND(".",'NIDS DNS table'!$B$22,1)-1)," A ",'NIDS DNS table'!$C$22)</f>
        <v>zone name.cisco.com. addRR red-bMAIN-STCA A 10.10.120.13</v>
      </c>
    </row>
    <row r="79" ht="13.5">
      <c r="A79" s="93" t="str">
        <f>CONCATENATE("zone ",RIGHT('NIDS DNS table'!$B$22,LEN('NIDS DNS table'!$B$22)-FIND(".",'NIDS DNS table'!$B$22,1)),". addRR ",LEFT('NIDS DNS table'!$B$22,FIND(".",'NIDS DNS table'!$B$22,1)-1)," A ",'NIDS DNS table'!$C$23)</f>
        <v>zone name.cisco.com. addRR red-bMAIN-STCA A 10.10.121.13</v>
      </c>
    </row>
    <row r="80" ht="13.5">
      <c r="A80" s="93" t="str">
        <f>CONCATENATE("zone ",RIGHT('NIDS DNS table'!$B$24,LEN('NIDS DNS table'!$B$24)-FIND(".",'NIDS DNS table'!$B$24,1)),". addRR ",LEFT('NIDS DNS table'!$B$24,FIND(".",'NIDS DNS table'!$B$24,1)-1)," A ",'NIDS DNS table'!$C$24)</f>
        <v>zone name.cisco.com. addRR red-aMAIN-STAIN A 10.10.120.12</v>
      </c>
    </row>
    <row r="81" ht="13.5">
      <c r="A81" s="93" t="str">
        <f>CONCATENATE("zone ",RIGHT('NIDS DNS table'!$B$24,LEN('NIDS DNS table'!$B$24)-FIND(".",'NIDS DNS table'!$B$24,1)),". addRR ",LEFT('NIDS DNS table'!$B$24,FIND(".",'NIDS DNS table'!$B$24,1)-1)," A ",'NIDS DNS table'!$C$25)</f>
        <v>zone name.cisco.com. addRR red-aMAIN-STAIN A 10.10.121.12</v>
      </c>
    </row>
    <row r="82" ht="13.5">
      <c r="A82" s="93" t="str">
        <f>CONCATENATE("zone ",RIGHT('NIDS DNS table'!$B$26,LEN('NIDS DNS table'!$B$26)-FIND(".",'NIDS DNS table'!$B$26,1)),". addRR ",LEFT('NIDS DNS table'!$B$26,FIND(".",'NIDS DNS table'!$B$26,1)-1)," A ",'NIDS DNS table'!$C$26)</f>
        <v>zone name.cisco.com. addRR red-bMAIN-STAIN A 10.10.120.13</v>
      </c>
    </row>
    <row r="83" ht="13.5">
      <c r="A83" s="93" t="str">
        <f>CONCATENATE("zone ",RIGHT('NIDS DNS table'!$B$26,LEN('NIDS DNS table'!$B$26)-FIND(".",'NIDS DNS table'!$B$26,1)),". addRR ",LEFT('NIDS DNS table'!$B$26,FIND(".",'NIDS DNS table'!$B$26,1)-1)," A ",'NIDS DNS table'!$C$27)</f>
        <v>zone name.cisco.com. addRR red-bMAIN-STAIN A 10.10.121.13</v>
      </c>
    </row>
    <row r="84" ht="13.5">
      <c r="A84" s="93" t="str">
        <f>CONCATENATE("zone ",RIGHT('NIDS DNS table'!$B$28,LEN('NIDS DNS table'!$B$28)-FIND(".",'NIDS DNS table'!$B$28,1)),". addRR ",LEFT('NIDS DNS table'!$B$28,FIND(".",'NIDS DNS table'!$B$28,1)-1)," A ",'NIDS DNS table'!$C$28)</f>
        <v>zone name.cisco.com. addRR red-aMAIN-STPTC A 10.10.120.12</v>
      </c>
    </row>
    <row r="85" ht="13.5">
      <c r="A85" s="93" t="str">
        <f>CONCATENATE("zone ",RIGHT('NIDS DNS table'!$B$28,LEN('NIDS DNS table'!$B$28)-FIND(".",'NIDS DNS table'!$B$28,1)),". addRR ",LEFT('NIDS DNS table'!$B$28,FIND(".",'NIDS DNS table'!$B$28,1)-1)," A ",'NIDS DNS table'!$C$29)</f>
        <v>zone name.cisco.com. addRR red-aMAIN-STPTC A 10.10.121.12</v>
      </c>
    </row>
    <row r="86" ht="13.5">
      <c r="A86" s="93" t="str">
        <f>CONCATENATE("zone ",RIGHT('NIDS DNS table'!$B$30,LEN('NIDS DNS table'!$B$30)-FIND(".",'NIDS DNS table'!$B$30,1)),". addRR ",LEFT('NIDS DNS table'!$B$30,FIND(".",'NIDS DNS table'!$B$30,1)-1)," A ",'NIDS DNS table'!$C$30)</f>
        <v>zone name.cisco.com. addRR red-bMAIN-STPTC A 10.10.120.13</v>
      </c>
    </row>
    <row r="87" ht="13.5">
      <c r="A87" s="93" t="str">
        <f>CONCATENATE("zone ",RIGHT('NIDS DNS table'!$B$30,LEN('NIDS DNS table'!$B$30)-FIND(".",'NIDS DNS table'!$B$30,1)),". addRR ",LEFT('NIDS DNS table'!$B$30,FIND(".",'NIDS DNS table'!$B$30,1)-1)," A ",'NIDS DNS table'!$C$31)</f>
        <v>zone name.cisco.com. addRR red-bMAIN-STPTC A 10.10.121.13</v>
      </c>
    </row>
    <row r="88" ht="13.5">
      <c r="A88" s="93" t="str">
        <f>CONCATENATE("zone ",RIGHT('NIDS DNS table'!$B$32,LEN('NIDS DNS table'!$B$32)-FIND(".",'NIDS DNS table'!$B$32,1)),". addRR ",LEFT('NIDS DNS table'!$B$32,FIND(".",'NIDS DNS table'!$B$32,1)-1)," A ",'NIDS DNS table'!$C$32)</f>
        <v>zone name.cisco.com. addRR red-aMAIN-STEMS A 10.10.122.10</v>
      </c>
    </row>
    <row r="89" ht="13.5">
      <c r="A89" s="93" t="str">
        <f>CONCATENATE("zone ",RIGHT('NIDS DNS table'!$B$32,LEN('NIDS DNS table'!$B$32)-FIND(".",'NIDS DNS table'!$B$32,1)),". addRR ",LEFT('NIDS DNS table'!$B$32,FIND(".",'NIDS DNS table'!$B$32,1)-1)," A ",'NIDS DNS table'!$C$33)</f>
        <v>zone name.cisco.com. addRR red-aMAIN-STEMS A 10.10.123.10</v>
      </c>
    </row>
    <row r="90" ht="13.5">
      <c r="A90" s="93" t="str">
        <f>CONCATENATE("zone ",RIGHT('NIDS DNS table'!$B$34,LEN('NIDS DNS table'!$B$34)-FIND(".",'NIDS DNS table'!$B$34,1)),". addRR ",LEFT('NIDS DNS table'!$B$34,FIND(".",'NIDS DNS table'!$B$34,1)-1)," A ",'NIDS DNS table'!$C$34)</f>
        <v>zone name.cisco.com. addRR red-bMAIN-STEMS A 10.10.122.11</v>
      </c>
    </row>
    <row r="91" ht="13.5">
      <c r="A91" s="93" t="str">
        <f>CONCATENATE("zone ",RIGHT('NIDS DNS table'!$B$34,LEN('NIDS DNS table'!$B$34)-FIND(".",'NIDS DNS table'!$B$34,1)),". addRR ",LEFT('NIDS DNS table'!$B$34,FIND(".",'NIDS DNS table'!$B$34,1)-1)," A ",'NIDS DNS table'!$C$35)</f>
        <v>zone name.cisco.com. addRR red-bMAIN-STEMS A 10.10.123.11</v>
      </c>
    </row>
    <row r="92" ht="13.5">
      <c r="A92" s="93" t="str">
        <f>CONCATENATE("zone ",RIGHT('NIDS DNS table'!$B$36,LEN('NIDS DNS table'!$B$36)-FIND(".",'NIDS DNS table'!$B$36,1)),". addRR ",LEFT('NIDS DNS table'!$B$36,FIND(".",'NIDS DNS table'!$B$36,1)-1)," A ",'NIDS DNS table'!$C$36)</f>
        <v>zone name.cisco.com. addRR blg-aMAIN-STEMS A 10.10.122.10</v>
      </c>
    </row>
    <row r="93" ht="13.5">
      <c r="A93" s="93" t="str">
        <f>CONCATENATE("zone ",RIGHT('NIDS DNS table'!$B$36,LEN('NIDS DNS table'!$B$36)-FIND(".",'NIDS DNS table'!$B$36,1)),". addRR ",LEFT('NIDS DNS table'!$B$36,FIND(".",'NIDS DNS table'!$B$36,1)-1)," A ",'NIDS DNS table'!$C$37)</f>
        <v>zone name.cisco.com. addRR blg-aMAIN-STEMS A 10.10.123.10</v>
      </c>
    </row>
    <row r="94" ht="13.5">
      <c r="A94" s="93" t="str">
        <f>CONCATENATE("zone ",RIGHT('NIDS DNS table'!$B$38,LEN('NIDS DNS table'!$B$38)-FIND(".",'NIDS DNS table'!$B$38,1)),". addRR ",LEFT('NIDS DNS table'!$B$38,FIND(".",'NIDS DNS table'!$B$38,1)-1)," A ",'NIDS DNS table'!$C$38)</f>
        <v>zone name.cisco.com. addRR blg-bMAIN-STEMS A 10.10.122.11</v>
      </c>
    </row>
    <row r="95" ht="13.5">
      <c r="A95" s="93" t="str">
        <f>CONCATENATE("zone ",RIGHT('NIDS DNS table'!$B$38,LEN('NIDS DNS table'!$B$38)-FIND(".",'NIDS DNS table'!$B$38,1)),". addRR ",LEFT('NIDS DNS table'!$B$38,FIND(".",'NIDS DNS table'!$B$38,1)-1)," A ",'NIDS DNS table'!$C$39)</f>
        <v>zone name.cisco.com. addRR blg-bMAIN-STEMS A 10.10.123.11</v>
      </c>
    </row>
    <row r="96" ht="13.5">
      <c r="A96" s="93" t="str">
        <f>CONCATENATE("zone ",RIGHT('NIDS DNS table'!$B$40,LEN('NIDS DNS table'!$B$40)-FIND(".",'NIDS DNS table'!$B$40,1)),". addRR ",LEFT('NIDS DNS table'!$B$40,FIND(".",'NIDS DNS table'!$B$40,1)-1)," A ",'NIDS DNS table'!$C$40)</f>
        <v>zone name.cisco.com. addRR blg-aMAIN-STCA A 10.10.122.12</v>
      </c>
    </row>
    <row r="97" ht="13.5">
      <c r="A97" s="93" t="str">
        <f>CONCATENATE("zone ",RIGHT('NIDS DNS table'!$B$40,LEN('NIDS DNS table'!$B$40)-FIND(".",'NIDS DNS table'!$B$40,1)),". addRR ",LEFT('NIDS DNS table'!$B$40,FIND(".",'NIDS DNS table'!$B$40,1)-1)," A ",'NIDS DNS table'!$C$41)</f>
        <v>zone name.cisco.com. addRR blg-aMAIN-STCA A 10.10.123.12</v>
      </c>
    </row>
    <row r="98" ht="13.5">
      <c r="A98" s="93" t="str">
        <f>CONCATENATE("zone ",RIGHT('NIDS DNS table'!$B$42,LEN('NIDS DNS table'!$B$42)-FIND(".",'NIDS DNS table'!$B$42,1)),". addRR ",LEFT('NIDS DNS table'!$B$42,FIND(".",'NIDS DNS table'!$B$42,1)-1)," A ",'NIDS DNS table'!$C$42)</f>
        <v>zone name.cisco.com. addRR blg-bMAIN-STCA A 10.10.122.13</v>
      </c>
    </row>
    <row r="99" ht="13.5">
      <c r="A99" s="93" t="str">
        <f>CONCATENATE("zone ",RIGHT('NIDS DNS table'!$B$42,LEN('NIDS DNS table'!$B$42)-FIND(".",'NIDS DNS table'!$B$42,1)),". addRR ",LEFT('NIDS DNS table'!$B$42,FIND(".",'NIDS DNS table'!$B$42,1)-1)," A ",'NIDS DNS table'!$C$43)</f>
        <v>zone name.cisco.com. addRR blg-bMAIN-STCA A 10.10.123.13</v>
      </c>
    </row>
    <row r="100" ht="13.5">
      <c r="A100" s="93" t="str">
        <f>CONCATENATE("zone ",RIGHT('NIDS DNS table'!$B$62,LEN('NIDS DNS table'!$B$62)-FIND(".",'NIDS DNS table'!$B$62,1)),". addRR ",LEFT('NIDS DNS table'!$B$62,FIND(".",'NIDS DNS table'!$B$62,1)-1)," A ",'NIDS DNS table'!$C$62)</f>
        <v>zone name.cisco.com. addRR sim-MAIN-STCA146 A 10.10.124.146</v>
      </c>
    </row>
    <row r="101" ht="13.5">
      <c r="A101" s="93" t="str">
        <f>CONCATENATE("zone ",RIGHT('NIDS DNS table'!$B$62,LEN('NIDS DNS table'!$B$62)-FIND(".",'NIDS DNS table'!$B$62,1)),". addRR ",LEFT('NIDS DNS table'!$B$62,FIND(".",'NIDS DNS table'!$B$62,1)-1)," A ",'NIDS DNS table'!$C$63)</f>
        <v>zone name.cisco.com. addRR sim-MAIN-STCA146 A 10.10.125.146</v>
      </c>
    </row>
    <row r="102" ht="13.5">
      <c r="A102" s="93" t="str">
        <f>CONCATENATE("zone ",RIGHT('NIDS DNS table'!$B$76,LEN('NIDS DNS table'!$B$76)-FIND(".",'NIDS DNS table'!$B$76,1)),". addRR ",LEFT('NIDS DNS table'!$B$76,FIND(".",'NIDS DNS table'!$B$76,1)-1)," A ",'NIDS DNS table'!$C$76)</f>
        <v>zone name.cisco.com. addRR asm-MAIN-STAIN205 A 10.10.124.205</v>
      </c>
    </row>
    <row r="103" ht="13.5">
      <c r="A103" s="93" t="str">
        <f>CONCATENATE("zone ",RIGHT('NIDS DNS table'!$B$76,LEN('NIDS DNS table'!$B$76)-FIND(".",'NIDS DNS table'!$B$76,1)),". addRR ",LEFT('NIDS DNS table'!$B$76,FIND(".",'NIDS DNS table'!$B$76,1)-1)," A ",'NIDS DNS table'!$C$77)</f>
        <v>zone name.cisco.com. addRR asm-MAIN-STAIN205 A 10.10.125.205</v>
      </c>
    </row>
    <row r="104" ht="13.5">
      <c r="A104" s="93" t="str">
        <f>CONCATENATE("zone ",RIGHT('NIDS DNS table'!$B$86,LEN('NIDS DNS table'!$B$86)-FIND(".",'NIDS DNS table'!$B$86,1)),". addRR ",LEFT('NIDS DNS table'!$B$86,FIND(".",'NIDS DNS table'!$B$86,1)-1)," A ",'NIDS DNS table'!$C$86)</f>
        <v>zone name.cisco.com. addRR pots-MAIN-STPTC235 A 10.10.124.235</v>
      </c>
    </row>
    <row r="105" ht="13.5">
      <c r="A105" s="93" t="str">
        <f>CONCATENATE("zone ",RIGHT('NIDS DNS table'!$B$86,LEN('NIDS DNS table'!$B$86)-FIND(".",'NIDS DNS table'!$B$86,1)),". addRR ",LEFT('NIDS DNS table'!$B$86,FIND(".",'NIDS DNS table'!$B$86,1)-1)," A ",'NIDS DNS table'!$C$87)</f>
        <v>zone name.cisco.com. addRR pots-MAIN-STPTC235 A 10.10.125.235</v>
      </c>
    </row>
    <row r="106" ht="13.5">
      <c r="A106" s="93" t="str">
        <f>CONCATENATE("zone ",RIGHT('NIDS DNS table'!$B$102,LEN('NIDS DNS table'!$B$102)-FIND(".",'NIDS DNS table'!$B$102,1)),". addRR ",LEFT('NIDS DNS table'!$B$102,FIND(".",'NIDS DNS table'!$B$102,1)-1)," A ",'NIDS DNS table'!$C$102)</f>
        <v>zone name.cisco.com. addRR oms-aMAIN-STCA A 10.10.122.12</v>
      </c>
    </row>
    <row r="107" ht="13.5">
      <c r="A107" s="93" t="str">
        <f>CONCATENATE("zone ",RIGHT('NIDS DNS table'!$B$102,LEN('NIDS DNS table'!$B$102)-FIND(".",'NIDS DNS table'!$B$102,1)),". addRR ",LEFT('NIDS DNS table'!$B$102,FIND(".",'NIDS DNS table'!$B$102,1)-1)," A ",'NIDS DNS table'!$C$103)</f>
        <v>zone name.cisco.com. addRR oms-aMAIN-STCA A 10.10.123.12</v>
      </c>
    </row>
    <row r="108" ht="13.5">
      <c r="A108" s="93" t="str">
        <f>CONCATENATE("zone ",RIGHT('NIDS DNS table'!$B$104,LEN('NIDS DNS table'!$B$104)-FIND(".",'NIDS DNS table'!$B$104,1)),". addRR ",LEFT('NIDS DNS table'!$B$104,FIND(".",'NIDS DNS table'!$B$104,1)-1)," A ",'NIDS DNS table'!$C$104)</f>
        <v>zone name.cisco.com. addRR oms-bMAIN-STCA A 10.10.122.13</v>
      </c>
    </row>
    <row r="109" ht="13.5">
      <c r="A109" s="93" t="str">
        <f>CONCATENATE("zone ",RIGHT('NIDS DNS table'!$B$104,LEN('NIDS DNS table'!$B$104)-FIND(".",'NIDS DNS table'!$B$104,1)),". addRR ",LEFT('NIDS DNS table'!$B$104,FIND(".",'NIDS DNS table'!$B$104,1)-1)," A ",'NIDS DNS table'!$C$105)</f>
        <v>zone name.cisco.com. addRR oms-bMAIN-STCA A 10.10.123.13</v>
      </c>
    </row>
    <row r="110" ht="13.5">
      <c r="A110" s="93" t="str">
        <f>CONCATENATE("zone ",RIGHT('NIDS DNS table'!$B$106,LEN('NIDS DNS table'!$B$106)-FIND(".",'NIDS DNS table'!$B$106,1)),". addRR ",LEFT('NIDS DNS table'!$B$106,FIND(".",'NIDS DNS table'!$B$106,1)-1)," A ",'NIDS DNS table'!$C$106)</f>
        <v>zone name.cisco.com. addRR oms-aMAIN-STAIN A 10.10.122.12</v>
      </c>
    </row>
    <row r="111" ht="13.5">
      <c r="A111" s="93" t="str">
        <f>CONCATENATE("zone ",RIGHT('NIDS DNS table'!$B$106,LEN('NIDS DNS table'!$B$106)-FIND(".",'NIDS DNS table'!$B$106,1)),". addRR ",LEFT('NIDS DNS table'!$B$106,FIND(".",'NIDS DNS table'!$B$106,1)-1)," A ",'NIDS DNS table'!$C$107)</f>
        <v>zone name.cisco.com. addRR oms-aMAIN-STAIN A 10.10.123.12</v>
      </c>
    </row>
    <row r="112" ht="13.5">
      <c r="A112" s="93" t="str">
        <f>CONCATENATE("zone ",RIGHT('NIDS DNS table'!$B$108,LEN('NIDS DNS table'!$B$108)-FIND(".",'NIDS DNS table'!$B$108,1)),". addRR ",LEFT('NIDS DNS table'!$B$108,FIND(".",'NIDS DNS table'!$B$108,1)-1)," A ",'NIDS DNS table'!$C$108)</f>
        <v>zone name.cisco.com. addRR oms-bMAIN-STAIN A 10.10.122.13</v>
      </c>
    </row>
    <row r="113" ht="13.5">
      <c r="A113" s="93" t="str">
        <f>CONCATENATE("zone ",RIGHT('NIDS DNS table'!$B$108,LEN('NIDS DNS table'!$B$108)-FIND(".",'NIDS DNS table'!$B$108,1)),". addRR ",LEFT('NIDS DNS table'!$B$108,FIND(".",'NIDS DNS table'!$B$108,1)-1)," A ",'NIDS DNS table'!$C$109)</f>
        <v>zone name.cisco.com. addRR oms-bMAIN-STAIN A 10.10.123.13</v>
      </c>
    </row>
    <row r="114" ht="13.5">
      <c r="A114" s="93" t="str">
        <f>CONCATENATE("zone ",RIGHT('NIDS DNS table'!$B$110,LEN('NIDS DNS table'!$B$110)-FIND(".",'NIDS DNS table'!$B$110,1)),". addRR ",LEFT('NIDS DNS table'!$B$110,FIND(".",'NIDS DNS table'!$B$110,1)-1)," A ",'NIDS DNS table'!$C$110)</f>
        <v>zone name.cisco.com. addRR oms-aMAIN-STPTC A 10.10.122.12</v>
      </c>
    </row>
    <row r="115" ht="13.5">
      <c r="A115" s="93" t="str">
        <f>CONCATENATE("zone ",RIGHT('NIDS DNS table'!$B$110,LEN('NIDS DNS table'!$B$110)-FIND(".",'NIDS DNS table'!$B$110,1)),". addRR ",LEFT('NIDS DNS table'!$B$110,FIND(".",'NIDS DNS table'!$B$110,1)-1)," A ",'NIDS DNS table'!$C$111)</f>
        <v>zone name.cisco.com. addRR oms-aMAIN-STPTC A 10.10.123.12</v>
      </c>
    </row>
    <row r="116" ht="13.5">
      <c r="A116" s="93" t="str">
        <f>CONCATENATE("zone ",RIGHT('NIDS DNS table'!$B$112,LEN('NIDS DNS table'!$B$112)-FIND(".",'NIDS DNS table'!$B$112,1)),". addRR ",LEFT('NIDS DNS table'!$B$112,FIND(".",'NIDS DNS table'!$B$112,1)-1)," A ",'NIDS DNS table'!$C$112)</f>
        <v>zone name.cisco.com. addRR oms-bMAIN-STPTC A 10.10.122.13</v>
      </c>
    </row>
    <row r="117" ht="13.5">
      <c r="A117" s="93" t="str">
        <f>CONCATENATE("zone ",RIGHT('NIDS DNS table'!$B$112,LEN('NIDS DNS table'!$B$112)-FIND(".",'NIDS DNS table'!$B$112,1)),". addRR ",LEFT('NIDS DNS table'!$B$112,FIND(".",'NIDS DNS table'!$B$112,1)-1)," A ",'NIDS DNS table'!$C$113)</f>
        <v>zone name.cisco.com. addRR oms-bMAIN-STPTC A 10.10.123.13</v>
      </c>
    </row>
    <row r="118" ht="13.5">
      <c r="A118" s="93" t="str">
        <f>CONCATENATE("zone ",RIGHT('NIDS DNS table'!$B$114,LEN('NIDS DNS table'!$B$114)-FIND(".",'NIDS DNS table'!$B$114,1)),". addRR ",LEFT('NIDS DNS table'!$B$114,FIND(".",'NIDS DNS table'!$B$114,1)-1)," A ",'NIDS DNS table'!$C$114)</f>
        <v>zone name.cisco.com. addRR oms-aMAIN-STEMS A 10.10.122.10</v>
      </c>
    </row>
    <row r="119" ht="13.5">
      <c r="A119" s="93" t="str">
        <f>CONCATENATE("zone ",RIGHT('NIDS DNS table'!$B$114,LEN('NIDS DNS table'!$B$114)-FIND(".",'NIDS DNS table'!$B$114,1)),". addRR ",LEFT('NIDS DNS table'!$B$114,FIND(".",'NIDS DNS table'!$B$114,1)-1)," A ",'NIDS DNS table'!$C$115)</f>
        <v>zone name.cisco.com. addRR oms-aMAIN-STEMS A 10.10.123.10</v>
      </c>
    </row>
    <row r="120" ht="13.5">
      <c r="A120" s="93" t="str">
        <f>CONCATENATE("zone ",RIGHT('NIDS DNS table'!$B$116,LEN('NIDS DNS table'!$B$116)-FIND(".",'NIDS DNS table'!$B$116,1)),". addRR ",LEFT('NIDS DNS table'!$B$116,FIND(".",'NIDS DNS table'!$B$116,1)-1)," A ",'NIDS DNS table'!$C$116)</f>
        <v>zone name.cisco.com. addRR oms-bMAIN-STEMS A 10.10.122.11</v>
      </c>
    </row>
    <row r="121" ht="13.5">
      <c r="A121" s="93" t="str">
        <f>CONCATENATE("zone ",RIGHT('NIDS DNS table'!$B$116,LEN('NIDS DNS table'!$B$116)-FIND(".",'NIDS DNS table'!$B$116,1)),". addRR ",LEFT('NIDS DNS table'!$B$116,FIND(".",'NIDS DNS table'!$B$116,1)-1)," A ",'NIDS DNS table'!$C$117)</f>
        <v>zone name.cisco.com. addRR oms-bMAIN-STEMS A 10.10.123.11</v>
      </c>
    </row>
    <row r="122" ht="13.5">
      <c r="A122" s="93" t="str">
        <f>CONCATENATE("zone ",RIGHT('NIDS DNS table'!$B$118,LEN('NIDS DNS table'!$B$118)-FIND(".",'NIDS DNS table'!$B$118,1)),". addRR ",LEFT('NIDS DNS table'!$B$118,FIND(".",'NIDS DNS table'!$B$118,1)-1)," A ",'NIDS DNS table'!$C$118)</f>
        <v>zone name.cisco.com. addRR mdii-aMAIN-STEMS A 10.10.122.10</v>
      </c>
    </row>
    <row r="123" ht="13.5">
      <c r="A123" s="93" t="str">
        <f>CONCATENATE("zone ",RIGHT('NIDS DNS table'!$B$118,LEN('NIDS DNS table'!$B$118)-FIND(".",'NIDS DNS table'!$B$118,1)),". addRR ",LEFT('NIDS DNS table'!$B$118,FIND(".",'NIDS DNS table'!$B$118,1)-1)," A ",'NIDS DNS table'!$C$119)</f>
        <v>zone name.cisco.com. addRR mdii-aMAIN-STEMS A 10.10.123.10</v>
      </c>
    </row>
    <row r="124" ht="13.5">
      <c r="A124" s="93" t="str">
        <f>CONCATENATE("zone ",RIGHT('NIDS DNS table'!$B$120,LEN('NIDS DNS table'!$B$120)-FIND(".",'NIDS DNS table'!$B$120,1)),". addRR ",LEFT('NIDS DNS table'!$B$120,FIND(".",'NIDS DNS table'!$B$120,1)-1)," A ",'NIDS DNS table'!$C$120)</f>
        <v>zone name.cisco.com. addRR mdii-bMAIN-STEMS A 10.10.122.11</v>
      </c>
    </row>
    <row r="125" ht="13.5">
      <c r="A125" s="93" t="str">
        <f>CONCATENATE("zone ",RIGHT('NIDS DNS table'!$B$120,LEN('NIDS DNS table'!$B$120)-FIND(".",'NIDS DNS table'!$B$120,1)),". addRR ",LEFT('NIDS DNS table'!$B$120,FIND(".",'NIDS DNS table'!$B$120,1)-1)," A ",'NIDS DNS table'!$C$121)</f>
        <v>zone name.cisco.com. addRR mdii-bMAIN-STEMS A 10.10.123.11</v>
      </c>
    </row>
    <row r="126" ht="13.5">
      <c r="A126" s="93" t="str">
        <f>CONCATENATE("zone ",RIGHT('NIDS DNS table'!$B$122,LEN('NIDS DNS table'!$B$122)-FIND(".",'NIDS DNS table'!$B$122,1)),". addRR ",LEFT('NIDS DNS table'!$B$122,FIND(".",'NIDS DNS table'!$B$122,1)-1)," A ",'NIDS DNS table'!$C$122)</f>
        <v>zone name.cisco.com. addRR iua-aMAIN-STCA A 10.89.225.12</v>
      </c>
    </row>
    <row r="127" ht="13.5">
      <c r="A127" s="93" t="str">
        <f>CONCATENATE("zone ",RIGHT('NIDS DNS table'!$B$122,LEN('NIDS DNS table'!$B$122)-FIND(".",'NIDS DNS table'!$B$122,1)),". addRR ",LEFT('NIDS DNS table'!$B$122,FIND(".",'NIDS DNS table'!$B$122,1)-1)," A ",'NIDS DNS table'!$C$123)</f>
        <v>zone name.cisco.com. addRR iua-aMAIN-STCA A 10.89.226.12</v>
      </c>
    </row>
    <row r="128" ht="13.5">
      <c r="A128" s="93" t="str">
        <f>CONCATENATE("zone ",RIGHT('NIDS DNS table'!$B$124,LEN('NIDS DNS table'!$B$124)-FIND(".",'NIDS DNS table'!$B$124,1)),". addRR ",LEFT('NIDS DNS table'!$B$124,FIND(".",'NIDS DNS table'!$B$124,1)-1)," A ",'NIDS DNS table'!$C$124)</f>
        <v>zone name.cisco.com. addRR iua-bMAIN-STCA A 10.89.225.13</v>
      </c>
    </row>
    <row r="129" ht="13.5">
      <c r="A129" s="93" t="str">
        <f>CONCATENATE("zone ",RIGHT('NIDS DNS table'!$B$124,LEN('NIDS DNS table'!$B$124)-FIND(".",'NIDS DNS table'!$B$124,1)),". addRR ",LEFT('NIDS DNS table'!$B$124,FIND(".",'NIDS DNS table'!$B$124,1)-1)," A ",'NIDS DNS table'!$C$125)</f>
        <v>zone name.cisco.com. addRR iua-bMAIN-STCA A 10.89.226.13</v>
      </c>
    </row>
    <row r="130" ht="13.5">
      <c r="A130" s="93"/>
    </row>
    <row r="131" ht="13.5">
      <c r="A131" s="93" t="s">
        <v>617</v>
      </c>
    </row>
    <row r="132" ht="13.5">
      <c r="A132" s="93" t="s">
        <v>620</v>
      </c>
    </row>
    <row r="133" ht="13.5">
      <c r="A133" s="93" t="s">
        <v>617</v>
      </c>
    </row>
  </sheetData>
  <sheetProtection sheet="1" objects="1" scenarios="1"/>
  <printOptions/>
  <pageMargins left="0.75" right="0.75" top="0.74" bottom="0.58" header="0.5" footer="0.17"/>
  <pageSetup horizontalDpi="600" verticalDpi="600" orientation="portrait" r:id="rId1"/>
  <headerFooter alignWithMargins="0">
    <oddFooter>&amp;LCisco Systems, Inc. Confidential&amp;C&amp;A&amp;R&amp;D   Page &amp;P of &amp;N</oddFooter>
  </headerFooter>
</worksheet>
</file>

<file path=xl/worksheets/sheet8.xml><?xml version="1.0" encoding="utf-8"?>
<worksheet xmlns="http://schemas.openxmlformats.org/spreadsheetml/2006/main" xmlns:r="http://schemas.openxmlformats.org/officeDocument/2006/relationships">
  <dimension ref="A1:B133"/>
  <sheetViews>
    <sheetView showGridLines="0" workbookViewId="0" topLeftCell="A106">
      <selection activeCell="A129" sqref="A129"/>
    </sheetView>
  </sheetViews>
  <sheetFormatPr defaultColWidth="9.140625" defaultRowHeight="12.75"/>
  <cols>
    <col min="1" max="1" width="106.57421875" style="69" customWidth="1"/>
    <col min="2" max="16384" width="9.140625" style="69" hidden="1" customWidth="1"/>
  </cols>
  <sheetData>
    <row r="1" spans="1:2" ht="13.5">
      <c r="A1" s="93" t="s">
        <v>617</v>
      </c>
      <c r="B1" s="69">
        <f>LEN('NIDS Data Entry + Netwk tables'!C11)+LEN('NIDS Data Entry + Netwk tables'!C30)+10+5</f>
        <v>36</v>
      </c>
    </row>
    <row r="2" ht="13.5">
      <c r="A2" s="93" t="s">
        <v>618</v>
      </c>
    </row>
    <row r="3" ht="13.5">
      <c r="A3" s="93" t="str">
        <f>CONCATENATE("## Reverse Cisco CNR DNS load file for BTS Installation: ",'NIDS Data Entry + Netwk tables'!C11)</f>
        <v>## Reverse Cisco CNR DNS load file for BTS Installation: MAIN-ST</v>
      </c>
    </row>
    <row r="4" ht="13.5">
      <c r="A4" s="93" t="s">
        <v>618</v>
      </c>
    </row>
    <row r="5" ht="13.5">
      <c r="A5" s="93" t="s">
        <v>617</v>
      </c>
    </row>
    <row r="6" ht="13.5">
      <c r="A6" s="93"/>
    </row>
    <row r="7" ht="13.5">
      <c r="A7" s="93" t="str">
        <f>CONCATENATE("zone ",MID('NIDS DNS table'!$C$8,FIND(".",'NIDS DNS table'!$C$8,FIND(".",'NIDS DNS table'!$C$8)+1)+1,FIND(".",'NIDS DNS table'!$C$8,FIND(".",'NIDS DNS table'!$C$8,FIND(".",'NIDS DNS table'!$C$8)+1)+1)-FIND(".",'NIDS DNS table'!$C$8,FIND(".",'NIDS DNS table'!$C$8)+1)),MID('NIDS DNS table'!$C$8,FIND(".",'NIDS DNS table'!$C$8)+1,FIND(".",'NIDS DNS table'!$C$8,FIND(".",'NIDS DNS table'!$C$8)+1)-FIND(".",'NIDS DNS table'!$C$8)),LEFT('NIDS DNS table'!$C$8,FIND(".",'NIDS DNS table'!$C$8)),"in-addr.arpa. addRR ",RIGHT('NIDS DNS table'!$C$8,LEN('NIDS DNS table'!$C$8)-FIND(".",'NIDS DNS table'!$C$8,FIND(".",'NIDS DNS table'!$C$8,FIND(".",'NIDS DNS table'!$C$8)+1)+1))," PTR ",'NIDS DNS table'!$B$8,".")</f>
        <v>zone 223.89.10.in-addr.arpa. addRR 10 PTR priems.name.cisco.com.</v>
      </c>
    </row>
    <row r="8" ht="13.5">
      <c r="A8" s="93" t="str">
        <f>CONCATENATE("zone ",MID('NIDS DNS table'!$C$9,FIND(".",'NIDS DNS table'!$C$9,FIND(".",'NIDS DNS table'!$C$9)+1)+1,FIND(".",'NIDS DNS table'!$C$9,FIND(".",'NIDS DNS table'!$C$9,FIND(".",'NIDS DNS table'!$C$9)+1)+1)-FIND(".",'NIDS DNS table'!$C$9,FIND(".",'NIDS DNS table'!$C$9)+1)),MID('NIDS DNS table'!$C$9,FIND(".",'NIDS DNS table'!$C$9)+1,FIND(".",'NIDS DNS table'!$C$9,FIND(".",'NIDS DNS table'!$C$9)+1)-FIND(".",'NIDS DNS table'!$C$9)),LEFT('NIDS DNS table'!$C$9,FIND(".",'NIDS DNS table'!$C$9)),"in-addr.arpa. addRR ",RIGHT('NIDS DNS table'!$C$9,LEN('NIDS DNS table'!$C$9)-FIND(".",'NIDS DNS table'!$C$9,FIND(".",'NIDS DNS table'!$C$9,FIND(".",'NIDS DNS table'!$C$9)+1)+1))," PTR ",'NIDS DNS table'!$B$8,".")</f>
        <v>zone 224.89.10.in-addr.arpa. addRR 10 PTR priems.name.cisco.com.</v>
      </c>
    </row>
    <row r="9" ht="13.5">
      <c r="A9" s="93" t="str">
        <f>CONCATENATE("zone ",MID('NIDS DNS table'!$C$10,FIND(".",'NIDS DNS table'!$C$10,FIND(".",'NIDS DNS table'!$C$10)+1)+1,FIND(".",'NIDS DNS table'!$C$10,FIND(".",'NIDS DNS table'!$C$10,FIND(".",'NIDS DNS table'!$C$10)+1)+1)-FIND(".",'NIDS DNS table'!$C$10,FIND(".",'NIDS DNS table'!$C$10)+1)),MID('NIDS DNS table'!$C$10,FIND(".",'NIDS DNS table'!$C$10)+1,FIND(".",'NIDS DNS table'!$C$10,FIND(".",'NIDS DNS table'!$C$10)+1)-FIND(".",'NIDS DNS table'!$C$10)),LEFT('NIDS DNS table'!$C$10,FIND(".",'NIDS DNS table'!$C$10)),"in-addr.arpa. addRR ",RIGHT('NIDS DNS table'!$C$10,LEN('NIDS DNS table'!$C$10)-FIND(".",'NIDS DNS table'!$C$10,FIND(".",'NIDS DNS table'!$C$10,FIND(".",'NIDS DNS table'!$C$10)+1)+1))," PTR ",'NIDS DNS table'!$B$10,".")</f>
        <v>zone 223.89.10.in-addr.arpa. addRR 11 PTR secems.name.cisco.com.</v>
      </c>
    </row>
    <row r="10" ht="13.5">
      <c r="A10" s="93" t="str">
        <f>CONCATENATE("zone ",MID('NIDS DNS table'!$C$11,FIND(".",'NIDS DNS table'!$C$11,FIND(".",'NIDS DNS table'!$C$11)+1)+1,FIND(".",'NIDS DNS table'!$C$11,FIND(".",'NIDS DNS table'!$C$11,FIND(".",'NIDS DNS table'!$C$11)+1)+1)-FIND(".",'NIDS DNS table'!$C$11,FIND(".",'NIDS DNS table'!$C$11)+1)),MID('NIDS DNS table'!$C$11,FIND(".",'NIDS DNS table'!$C$11)+1,FIND(".",'NIDS DNS table'!$C$11,FIND(".",'NIDS DNS table'!$C$11)+1)-FIND(".",'NIDS DNS table'!$C$11)),LEFT('NIDS DNS table'!$C$11,FIND(".",'NIDS DNS table'!$C$11)),"in-addr.arpa. addRR ",RIGHT('NIDS DNS table'!$C$11,LEN('NIDS DNS table'!$C$11)-FIND(".",'NIDS DNS table'!$C$11,FIND(".",'NIDS DNS table'!$C$11,FIND(".",'NIDS DNS table'!$C$11)+1)+1))," PTR ",'NIDS DNS table'!$B$10,".")</f>
        <v>zone 224.89.10.in-addr.arpa. addRR 11 PTR secems.name.cisco.com.</v>
      </c>
    </row>
    <row r="11" ht="13.5">
      <c r="A11" s="93" t="str">
        <f>CONCATENATE("zone ",MID('NIDS DNS table'!$C$12,FIND(".",'NIDS DNS table'!$C$12,FIND(".",'NIDS DNS table'!$C$12)+1)+1,FIND(".",'NIDS DNS table'!$C$12,FIND(".",'NIDS DNS table'!$C$12,FIND(".",'NIDS DNS table'!$C$12)+1)+1)-FIND(".",'NIDS DNS table'!$C$12,FIND(".",'NIDS DNS table'!$C$12)+1)),MID('NIDS DNS table'!$C$12,FIND(".",'NIDS DNS table'!$C$12)+1,FIND(".",'NIDS DNS table'!$C$12,FIND(".",'NIDS DNS table'!$C$12)+1)-FIND(".",'NIDS DNS table'!$C$12)),LEFT('NIDS DNS table'!$C$12,FIND(".",'NIDS DNS table'!$C$12)),"in-addr.arpa. addRR ",RIGHT('NIDS DNS table'!$C$12,LEN('NIDS DNS table'!$C$12)-FIND(".",'NIDS DNS table'!$C$12,FIND(".",'NIDS DNS table'!$C$12,FIND(".",'NIDS DNS table'!$C$12)+1)+1))," PTR ",'NIDS DNS table'!$B$12,".")</f>
        <v>zone 223.89.10.in-addr.arpa. addRR 12 PTR prica.name.cisco.com.</v>
      </c>
    </row>
    <row r="12" ht="13.5">
      <c r="A12" s="93" t="str">
        <f>CONCATENATE("zone ",MID('NIDS DNS table'!$C$13,FIND(".",'NIDS DNS table'!$C$13,FIND(".",'NIDS DNS table'!$C$13)+1)+1,FIND(".",'NIDS DNS table'!$C$13,FIND(".",'NIDS DNS table'!$C$13,FIND(".",'NIDS DNS table'!$C$13)+1)+1)-FIND(".",'NIDS DNS table'!$C$13,FIND(".",'NIDS DNS table'!$C$13)+1)),MID('NIDS DNS table'!$C$13,FIND(".",'NIDS DNS table'!$C$13)+1,FIND(".",'NIDS DNS table'!$C$13,FIND(".",'NIDS DNS table'!$C$13)+1)-FIND(".",'NIDS DNS table'!$C$13)),LEFT('NIDS DNS table'!$C$13,FIND(".",'NIDS DNS table'!$C$13)),"in-addr.arpa. addRR ",RIGHT('NIDS DNS table'!$C$13,LEN('NIDS DNS table'!$C$13)-FIND(".",'NIDS DNS table'!$C$13,FIND(".",'NIDS DNS table'!$C$13,FIND(".",'NIDS DNS table'!$C$13)+1)+1))," PTR ",'NIDS DNS table'!$B$12,".")</f>
        <v>zone 224.89.10.in-addr.arpa. addRR 12 PTR prica.name.cisco.com.</v>
      </c>
    </row>
    <row r="13" ht="13.5">
      <c r="A13" s="93" t="str">
        <f>CONCATENATE("zone ",MID('NIDS DNS table'!$C$14,FIND(".",'NIDS DNS table'!$C$14,FIND(".",'NIDS DNS table'!$C$14)+1)+1,FIND(".",'NIDS DNS table'!$C$14,FIND(".",'NIDS DNS table'!$C$14,FIND(".",'NIDS DNS table'!$C$14)+1)+1)-FIND(".",'NIDS DNS table'!$C$14,FIND(".",'NIDS DNS table'!$C$14)+1)),MID('NIDS DNS table'!$C$14,FIND(".",'NIDS DNS table'!$C$14)+1,FIND(".",'NIDS DNS table'!$C$14,FIND(".",'NIDS DNS table'!$C$14)+1)-FIND(".",'NIDS DNS table'!$C$14)),LEFT('NIDS DNS table'!$C$14,FIND(".",'NIDS DNS table'!$C$14)),"in-addr.arpa. addRR ",RIGHT('NIDS DNS table'!$C$14,LEN('NIDS DNS table'!$C$14)-FIND(".",'NIDS DNS table'!$C$14,FIND(".",'NIDS DNS table'!$C$14,FIND(".",'NIDS DNS table'!$C$14)+1)+1))," PTR ",'NIDS DNS table'!$B$14,".")</f>
        <v>zone 223.89.10.in-addr.arpa. addRR 13 PTR secca.name.cisco.com.</v>
      </c>
    </row>
    <row r="14" ht="13.5">
      <c r="A14" s="93" t="str">
        <f>CONCATENATE("zone ",MID('NIDS DNS table'!$C$15,FIND(".",'NIDS DNS table'!$C$15,FIND(".",'NIDS DNS table'!$C$15)+1)+1,FIND(".",'NIDS DNS table'!$C$15,FIND(".",'NIDS DNS table'!$C$15,FIND(".",'NIDS DNS table'!$C$15)+1)+1)-FIND(".",'NIDS DNS table'!$C$15,FIND(".",'NIDS DNS table'!$C$15)+1)),MID('NIDS DNS table'!$C$15,FIND(".",'NIDS DNS table'!$C$15)+1,FIND(".",'NIDS DNS table'!$C$15,FIND(".",'NIDS DNS table'!$C$15)+1)-FIND(".",'NIDS DNS table'!$C$15)),LEFT('NIDS DNS table'!$C$15,FIND(".",'NIDS DNS table'!$C$15)),"in-addr.arpa. addRR ",RIGHT('NIDS DNS table'!$C$15,LEN('NIDS DNS table'!$C$15)-FIND(".",'NIDS DNS table'!$C$15,FIND(".",'NIDS DNS table'!$C$15,FIND(".",'NIDS DNS table'!$C$15)+1)+1))," PTR ",'NIDS DNS table'!$B$14,".")</f>
        <v>zone 224.89.10.in-addr.arpa. addRR 13 PTR secca.name.cisco.com.</v>
      </c>
    </row>
    <row r="15" ht="13.5">
      <c r="A15" s="93" t="str">
        <f>CONCATENATE("zone ",MID('NIDS DNS table'!$C$16,FIND(".",'NIDS DNS table'!$C$16,FIND(".",'NIDS DNS table'!$C$16)+1)+1,FIND(".",'NIDS DNS table'!$C$16,FIND(".",'NIDS DNS table'!$C$16,FIND(".",'NIDS DNS table'!$C$16)+1)+1)-FIND(".",'NIDS DNS table'!$C$16,FIND(".",'NIDS DNS table'!$C$16)+1)),MID('NIDS DNS table'!$C$16,FIND(".",'NIDS DNS table'!$C$16)+1,FIND(".",'NIDS DNS table'!$C$16,FIND(".",'NIDS DNS table'!$C$16)+1)-FIND(".",'NIDS DNS table'!$C$16)),LEFT('NIDS DNS table'!$C$16,FIND(".",'NIDS DNS table'!$C$16)),"in-addr.arpa. addRR ",RIGHT('NIDS DNS table'!$C$16,LEN('NIDS DNS table'!$C$16)-FIND(".",'NIDS DNS table'!$C$16,FIND(".",'NIDS DNS table'!$C$16,FIND(".",'NIDS DNS table'!$C$16)+1)+1))," PTR ",'NIDS DNS table'!$B$16,".")</f>
        <v>zone 225.89.10.in-addr.arpa. addRR 254 PTR broker-MAIN-ST.name.cisco.com.</v>
      </c>
    </row>
    <row r="16" ht="13.5">
      <c r="A16" s="93" t="str">
        <f>CONCATENATE("zone ",MID('NIDS DNS table'!$C$17,FIND(".",'NIDS DNS table'!$C$17,FIND(".",'NIDS DNS table'!$C$17)+1)+1,FIND(".",'NIDS DNS table'!$C$17,FIND(".",'NIDS DNS table'!$C$17,FIND(".",'NIDS DNS table'!$C$17)+1)+1)-FIND(".",'NIDS DNS table'!$C$17,FIND(".",'NIDS DNS table'!$C$17)+1)),MID('NIDS DNS table'!$C$17,FIND(".",'NIDS DNS table'!$C$17)+1,FIND(".",'NIDS DNS table'!$C$17,FIND(".",'NIDS DNS table'!$C$17)+1)-FIND(".",'NIDS DNS table'!$C$17)),LEFT('NIDS DNS table'!$C$17,FIND(".",'NIDS DNS table'!$C$17)),"in-addr.arpa. addRR ",RIGHT('NIDS DNS table'!$C$17,LEN('NIDS DNS table'!$C$17)-FIND(".",'NIDS DNS table'!$C$17,FIND(".",'NIDS DNS table'!$C$17,FIND(".",'NIDS DNS table'!$C$17)+1)+1))," PTR ",'NIDS DNS table'!$B$16,".")</f>
        <v>zone 226.89.10.in-addr.arpa. addRR 254 PTR broker-MAIN-ST.name.cisco.com.</v>
      </c>
    </row>
    <row r="17" ht="13.5">
      <c r="A17" s="93" t="str">
        <f>CONCATENATE("zone ",MID('NIDS DNS table'!$C$18,FIND(".",'NIDS DNS table'!$C$18,FIND(".",'NIDS DNS table'!$C$18)+1)+1,FIND(".",'NIDS DNS table'!$C$18,FIND(".",'NIDS DNS table'!$C$18,FIND(".",'NIDS DNS table'!$C$18)+1)+1)-FIND(".",'NIDS DNS table'!$C$18,FIND(".",'NIDS DNS table'!$C$18)+1)),MID('NIDS DNS table'!$C$18,FIND(".",'NIDS DNS table'!$C$18)+1,FIND(".",'NIDS DNS table'!$C$18,FIND(".",'NIDS DNS table'!$C$18)+1)-FIND(".",'NIDS DNS table'!$C$18)),LEFT('NIDS DNS table'!$C$18,FIND(".",'NIDS DNS table'!$C$18)),"in-addr.arpa. addRR ",RIGHT('NIDS DNS table'!$C$18,LEN('NIDS DNS table'!$C$18)-FIND(".",'NIDS DNS table'!$C$18,FIND(".",'NIDS DNS table'!$C$18,FIND(".",'NIDS DNS table'!$C$18)+1)+1))," PTR ",'NIDS DNS table'!$B$18,".")</f>
        <v>zone 223.89.10.in-addr.arpa. addRR 254 PTR brokerems-MAIN-ST.name.cisco.com.</v>
      </c>
    </row>
    <row r="18" ht="13.5">
      <c r="A18" s="93" t="str">
        <f>CONCATENATE("zone ",MID('NIDS DNS table'!$C$19,FIND(".",'NIDS DNS table'!$C$19,FIND(".",'NIDS DNS table'!$C$19)+1)+1,FIND(".",'NIDS DNS table'!$C$19,FIND(".",'NIDS DNS table'!$C$19,FIND(".",'NIDS DNS table'!$C$19)+1)+1)-FIND(".",'NIDS DNS table'!$C$19,FIND(".",'NIDS DNS table'!$C$19)+1)),MID('NIDS DNS table'!$C$19,FIND(".",'NIDS DNS table'!$C$19)+1,FIND(".",'NIDS DNS table'!$C$19,FIND(".",'NIDS DNS table'!$C$19)+1)-FIND(".",'NIDS DNS table'!$C$19)),LEFT('NIDS DNS table'!$C$19,FIND(".",'NIDS DNS table'!$C$19)),"in-addr.arpa. addRR ",RIGHT('NIDS DNS table'!$C$19,LEN('NIDS DNS table'!$C$19)-FIND(".",'NIDS DNS table'!$C$19,FIND(".",'NIDS DNS table'!$C$19,FIND(".",'NIDS DNS table'!$C$19)+1)+1))," PTR ",'NIDS DNS table'!$B$18,".")</f>
        <v>zone 224.89.10.in-addr.arpa. addRR 254 PTR brokerems-MAIN-ST.name.cisco.com.</v>
      </c>
    </row>
    <row r="19" ht="13.5">
      <c r="A19" s="93" t="str">
        <f>CONCATENATE("zone ",MID('NIDS DNS table'!$C$44,FIND(".",'NIDS DNS table'!$C$44,FIND(".",'NIDS DNS table'!$C$44)+1)+1,FIND(".",'NIDS DNS table'!$C$44,FIND(".",'NIDS DNS table'!$C$44,FIND(".",'NIDS DNS table'!$C$44)+1)+1)-FIND(".",'NIDS DNS table'!$C$44,FIND(".",'NIDS DNS table'!$C$44)+1)),MID('NIDS DNS table'!$C$44,FIND(".",'NIDS DNS table'!$C$44)+1,FIND(".",'NIDS DNS table'!$C$44,FIND(".",'NIDS DNS table'!$C$44)+1)-FIND(".",'NIDS DNS table'!$C$44)),LEFT('NIDS DNS table'!$C$44,FIND(".",'NIDS DNS table'!$C$44)),"in-addr.arpa. addRR ",RIGHT('NIDS DNS table'!$C$44,LEN('NIDS DNS table'!$C$44)-FIND(".",'NIDS DNS table'!$C$44,FIND(".",'NIDS DNS table'!$C$44,FIND(".",'NIDS DNS table'!$C$44)+1)+1))," PTR ",'NIDS DNS table'!$B$44,".")</f>
        <v>zone 225.89.10.in-addr.arpa. addRR 12 PTR sia-MAIN-STCA.name.cisco.com.</v>
      </c>
    </row>
    <row r="20" ht="13.5">
      <c r="A20" s="93" t="str">
        <f>CONCATENATE("zone ",MID('NIDS DNS table'!$C$45,FIND(".",'NIDS DNS table'!$C$45,FIND(".",'NIDS DNS table'!$C$45)+1)+1,FIND(".",'NIDS DNS table'!$C$45,FIND(".",'NIDS DNS table'!$C$45,FIND(".",'NIDS DNS table'!$C$45)+1)+1)-FIND(".",'NIDS DNS table'!$C$45,FIND(".",'NIDS DNS table'!$C$45)+1)),MID('NIDS DNS table'!$C$45,FIND(".",'NIDS DNS table'!$C$45)+1,FIND(".",'NIDS DNS table'!$C$45,FIND(".",'NIDS DNS table'!$C$45)+1)-FIND(".",'NIDS DNS table'!$C$45)),LEFT('NIDS DNS table'!$C$45,FIND(".",'NIDS DNS table'!$C$45)),"in-addr.arpa. addRR ",RIGHT('NIDS DNS table'!$C$45,LEN('NIDS DNS table'!$C$45)-FIND(".",'NIDS DNS table'!$C$45,FIND(".",'NIDS DNS table'!$C$45,FIND(".",'NIDS DNS table'!$C$45)+1)+1))," PTR ",'NIDS DNS table'!$B$44,".")</f>
        <v>zone 226.89.10.in-addr.arpa. addRR 12 PTR sia-MAIN-STCA.name.cisco.com.</v>
      </c>
    </row>
    <row r="21" ht="13.5">
      <c r="A21" s="93" t="str">
        <f>CONCATENATE("zone ",MID('NIDS DNS table'!$C$46,FIND(".",'NIDS DNS table'!$C$46,FIND(".",'NIDS DNS table'!$C$46)+1)+1,FIND(".",'NIDS DNS table'!$C$46,FIND(".",'NIDS DNS table'!$C$46,FIND(".",'NIDS DNS table'!$C$46)+1)+1)-FIND(".",'NIDS DNS table'!$C$46,FIND(".",'NIDS DNS table'!$C$46)+1)),MID('NIDS DNS table'!$C$46,FIND(".",'NIDS DNS table'!$C$46)+1,FIND(".",'NIDS DNS table'!$C$46,FIND(".",'NIDS DNS table'!$C$46)+1)-FIND(".",'NIDS DNS table'!$C$46)),LEFT('NIDS DNS table'!$C$46,FIND(".",'NIDS DNS table'!$C$46)),"in-addr.arpa. addRR ",RIGHT('NIDS DNS table'!$C$46,LEN('NIDS DNS table'!$C$46)-FIND(".",'NIDS DNS table'!$C$46,FIND(".",'NIDS DNS table'!$C$46,FIND(".",'NIDS DNS table'!$C$46)+1)+1))," PTR ",'NIDS DNS table'!$B$44,".")</f>
        <v>zone 225.89.10.in-addr.arpa. addRR 13 PTR sia-MAIN-STCA.name.cisco.com.</v>
      </c>
    </row>
    <row r="22" ht="13.5">
      <c r="A22" s="93" t="str">
        <f>CONCATENATE("zone ",MID('NIDS DNS table'!$C$47,FIND(".",'NIDS DNS table'!$C$47,FIND(".",'NIDS DNS table'!$C$47)+1)+1,FIND(".",'NIDS DNS table'!$C$47,FIND(".",'NIDS DNS table'!$C$47,FIND(".",'NIDS DNS table'!$C$47)+1)+1)-FIND(".",'NIDS DNS table'!$C$47,FIND(".",'NIDS DNS table'!$C$47)+1)),MID('NIDS DNS table'!$C$47,FIND(".",'NIDS DNS table'!$C$47)+1,FIND(".",'NIDS DNS table'!$C$47,FIND(".",'NIDS DNS table'!$C$47)+1)-FIND(".",'NIDS DNS table'!$C$47)),LEFT('NIDS DNS table'!$C$47,FIND(".",'NIDS DNS table'!$C$47)),"in-addr.arpa. addRR ",RIGHT('NIDS DNS table'!$C$47,LEN('NIDS DNS table'!$C$47)-FIND(".",'NIDS DNS table'!$C$47,FIND(".",'NIDS DNS table'!$C$47,FIND(".",'NIDS DNS table'!$C$47)+1)+1))," PTR ",'NIDS DNS table'!$B$44,".")</f>
        <v>zone 226.89.10.in-addr.arpa. addRR 13 PTR sia-MAIN-STCA.name.cisco.com.</v>
      </c>
    </row>
    <row r="23" ht="13.5">
      <c r="A23" s="93" t="str">
        <f>CONCATENATE("zone ",MID('NIDS DNS table'!$C$48,FIND(".",'NIDS DNS table'!$C$48,FIND(".",'NIDS DNS table'!$C$48)+1)+1,FIND(".",'NIDS DNS table'!$C$48,FIND(".",'NIDS DNS table'!$C$48,FIND(".",'NIDS DNS table'!$C$48)+1)+1)-FIND(".",'NIDS DNS table'!$C$48,FIND(".",'NIDS DNS table'!$C$48)+1)),MID('NIDS DNS table'!$C$48,FIND(".",'NIDS DNS table'!$C$48)+1,FIND(".",'NIDS DNS table'!$C$48,FIND(".",'NIDS DNS table'!$C$48)+1)-FIND(".",'NIDS DNS table'!$C$48)),LEFT('NIDS DNS table'!$C$48,FIND(".",'NIDS DNS table'!$C$48)),"in-addr.arpa. addRR ",RIGHT('NIDS DNS table'!$C$48,LEN('NIDS DNS table'!$C$48)-FIND(".",'NIDS DNS table'!$C$48,FIND(".",'NIDS DNS table'!$C$48,FIND(".",'NIDS DNS table'!$C$48)+1)+1))," PTR ",'NIDS DNS table'!$B$48,".")</f>
        <v>zone 225.89.10.in-addr.arpa. addRR 14 PTR mgcp-MAIN-STCA146.name.cisco.com.</v>
      </c>
    </row>
    <row r="24" ht="13.5">
      <c r="A24" s="93" t="str">
        <f>CONCATENATE("zone ",MID('NIDS DNS table'!$C$49,FIND(".",'NIDS DNS table'!$C$49,FIND(".",'NIDS DNS table'!$C$49)+1)+1,FIND(".",'NIDS DNS table'!$C$49,FIND(".",'NIDS DNS table'!$C$49,FIND(".",'NIDS DNS table'!$C$49)+1)+1)-FIND(".",'NIDS DNS table'!$C$49,FIND(".",'NIDS DNS table'!$C$49)+1)),MID('NIDS DNS table'!$C$49,FIND(".",'NIDS DNS table'!$C$49)+1,FIND(".",'NIDS DNS table'!$C$49,FIND(".",'NIDS DNS table'!$C$49)+1)-FIND(".",'NIDS DNS table'!$C$49)),LEFT('NIDS DNS table'!$C$49,FIND(".",'NIDS DNS table'!$C$49)),"in-addr.arpa. addRR ",RIGHT('NIDS DNS table'!$C$49,LEN('NIDS DNS table'!$C$49)-FIND(".",'NIDS DNS table'!$C$49,FIND(".",'NIDS DNS table'!$C$49,FIND(".",'NIDS DNS table'!$C$49)+1)+1))," PTR ",'NIDS DNS table'!$B$48,".")</f>
        <v>zone 226.89.10.in-addr.arpa. addRR 14 PTR mgcp-MAIN-STCA146.name.cisco.com.</v>
      </c>
    </row>
    <row r="25" ht="13.5">
      <c r="A25" s="93" t="str">
        <f>CONCATENATE("zone ",MID('NIDS DNS table'!$C$50,FIND(".",'NIDS DNS table'!$C$50,FIND(".",'NIDS DNS table'!$C$50)+1)+1,FIND(".",'NIDS DNS table'!$C$50,FIND(".",'NIDS DNS table'!$C$50,FIND(".",'NIDS DNS table'!$C$50)+1)+1)-FIND(".",'NIDS DNS table'!$C$50,FIND(".",'NIDS DNS table'!$C$50)+1)),MID('NIDS DNS table'!$C$50,FIND(".",'NIDS DNS table'!$C$50)+1,FIND(".",'NIDS DNS table'!$C$50,FIND(".",'NIDS DNS table'!$C$50)+1)-FIND(".",'NIDS DNS table'!$C$50)),LEFT('NIDS DNS table'!$C$50,FIND(".",'NIDS DNS table'!$C$50)),"in-addr.arpa. addRR ",RIGHT('NIDS DNS table'!$C$50,LEN('NIDS DNS table'!$C$50)-FIND(".",'NIDS DNS table'!$C$50,FIND(".",'NIDS DNS table'!$C$50,FIND(".",'NIDS DNS table'!$C$50)+1)+1))," PTR ",'NIDS DNS table'!$B$50,".")</f>
        <v>zone 225.89.10.in-addr.arpa. addRR 12 PTR crit-aMAIN-STCA.name.cisco.com.</v>
      </c>
    </row>
    <row r="26" ht="13.5">
      <c r="A26" s="93" t="str">
        <f>CONCATENATE("zone ",MID('NIDS DNS table'!$C$51,FIND(".",'NIDS DNS table'!$C$51,FIND(".",'NIDS DNS table'!$C$51)+1)+1,FIND(".",'NIDS DNS table'!$C$51,FIND(".",'NIDS DNS table'!$C$51,FIND(".",'NIDS DNS table'!$C$51)+1)+1)-FIND(".",'NIDS DNS table'!$C$51,FIND(".",'NIDS DNS table'!$C$51)+1)),MID('NIDS DNS table'!$C$51,FIND(".",'NIDS DNS table'!$C$51)+1,FIND(".",'NIDS DNS table'!$C$51,FIND(".",'NIDS DNS table'!$C$51)+1)-FIND(".",'NIDS DNS table'!$C$51)),LEFT('NIDS DNS table'!$C$51,FIND(".",'NIDS DNS table'!$C$51)),"in-addr.arpa. addRR ",RIGHT('NIDS DNS table'!$C$51,LEN('NIDS DNS table'!$C$51)-FIND(".",'NIDS DNS table'!$C$51,FIND(".",'NIDS DNS table'!$C$51,FIND(".",'NIDS DNS table'!$C$51)+1)+1))," PTR ",'NIDS DNS table'!$B$50,".")</f>
        <v>zone 226.89.10.in-addr.arpa. addRR 12 PTR crit-aMAIN-STCA.name.cisco.com.</v>
      </c>
    </row>
    <row r="27" ht="13.5">
      <c r="A27" s="93" t="str">
        <f>CONCATENATE("zone ",MID('NIDS DNS table'!$C$52,FIND(".",'NIDS DNS table'!$C$52,FIND(".",'NIDS DNS table'!$C$52)+1)+1,FIND(".",'NIDS DNS table'!$C$52,FIND(".",'NIDS DNS table'!$C$52,FIND(".",'NIDS DNS table'!$C$52)+1)+1)-FIND(".",'NIDS DNS table'!$C$52,FIND(".",'NIDS DNS table'!$C$52)+1)),MID('NIDS DNS table'!$C$52,FIND(".",'NIDS DNS table'!$C$52)+1,FIND(".",'NIDS DNS table'!$C$52,FIND(".",'NIDS DNS table'!$C$52)+1)-FIND(".",'NIDS DNS table'!$C$52)),LEFT('NIDS DNS table'!$C$52,FIND(".",'NIDS DNS table'!$C$52)),"in-addr.arpa. addRR ",RIGHT('NIDS DNS table'!$C$52,LEN('NIDS DNS table'!$C$52)-FIND(".",'NIDS DNS table'!$C$52,FIND(".",'NIDS DNS table'!$C$52,FIND(".",'NIDS DNS table'!$C$52)+1)+1))," PTR ",'NIDS DNS table'!$B$52,".")</f>
        <v>zone 225.89.10.in-addr.arpa. addRR 13 PTR crit-bMAIN-STCA.name.cisco.com.</v>
      </c>
    </row>
    <row r="28" ht="13.5">
      <c r="A28" s="93" t="str">
        <f>CONCATENATE("zone ",MID('NIDS DNS table'!$C$53,FIND(".",'NIDS DNS table'!$C$53,FIND(".",'NIDS DNS table'!$C$53)+1)+1,FIND(".",'NIDS DNS table'!$C$53,FIND(".",'NIDS DNS table'!$C$53,FIND(".",'NIDS DNS table'!$C$53)+1)+1)-FIND(".",'NIDS DNS table'!$C$53,FIND(".",'NIDS DNS table'!$C$53)+1)),MID('NIDS DNS table'!$C$53,FIND(".",'NIDS DNS table'!$C$53)+1,FIND(".",'NIDS DNS table'!$C$53,FIND(".",'NIDS DNS table'!$C$53)+1)-FIND(".",'NIDS DNS table'!$C$53)),LEFT('NIDS DNS table'!$C$53,FIND(".",'NIDS DNS table'!$C$53)),"in-addr.arpa. addRR ",RIGHT('NIDS DNS table'!$C$53,LEN('NIDS DNS table'!$C$53)-FIND(".",'NIDS DNS table'!$C$53,FIND(".",'NIDS DNS table'!$C$53,FIND(".",'NIDS DNS table'!$C$53)+1)+1))," PTR ",'NIDS DNS table'!$B$52,".")</f>
        <v>zone 226.89.10.in-addr.arpa. addRR 13 PTR crit-bMAIN-STCA.name.cisco.com.</v>
      </c>
    </row>
    <row r="29" ht="13.5">
      <c r="A29" s="93" t="str">
        <f>CONCATENATE("zone ",MID('NIDS DNS table'!$C$54,FIND(".",'NIDS DNS table'!$C$54,FIND(".",'NIDS DNS table'!$C$54)+1)+1,FIND(".",'NIDS DNS table'!$C$54,FIND(".",'NIDS DNS table'!$C$54,FIND(".",'NIDS DNS table'!$C$54)+1)+1)-FIND(".",'NIDS DNS table'!$C$54,FIND(".",'NIDS DNS table'!$C$54)+1)),MID('NIDS DNS table'!$C$54,FIND(".",'NIDS DNS table'!$C$54)+1,FIND(".",'NIDS DNS table'!$C$54,FIND(".",'NIDS DNS table'!$C$54)+1)-FIND(".",'NIDS DNS table'!$C$54)),LEFT('NIDS DNS table'!$C$54,FIND(".",'NIDS DNS table'!$C$54)),"in-addr.arpa. addRR ",RIGHT('NIDS DNS table'!$C$54,LEN('NIDS DNS table'!$C$54)-FIND(".",'NIDS DNS table'!$C$54,FIND(".",'NIDS DNS table'!$C$54,FIND(".",'NIDS DNS table'!$C$54)+1)+1))," PTR ",'NIDS DNS table'!$B$54,".")</f>
        <v>zone 225.89.10.in-addr.arpa. addRR 12 PTR sia-MAIN-STCA.name.cisco.com.</v>
      </c>
    </row>
    <row r="30" ht="13.5">
      <c r="A30" s="93" t="str">
        <f>CONCATENATE("zone ",MID('NIDS DNS table'!$C$55,FIND(".",'NIDS DNS table'!$C$55,FIND(".",'NIDS DNS table'!$C$55)+1)+1,FIND(".",'NIDS DNS table'!$C$55,FIND(".",'NIDS DNS table'!$C$55,FIND(".",'NIDS DNS table'!$C$55)+1)+1)-FIND(".",'NIDS DNS table'!$C$55,FIND(".",'NIDS DNS table'!$C$55)+1)),MID('NIDS DNS table'!$C$55,FIND(".",'NIDS DNS table'!$C$55)+1,FIND(".",'NIDS DNS table'!$C$55,FIND(".",'NIDS DNS table'!$C$55)+1)-FIND(".",'NIDS DNS table'!$C$55)),LEFT('NIDS DNS table'!$C$55,FIND(".",'NIDS DNS table'!$C$55)),"in-addr.arpa. addRR ",RIGHT('NIDS DNS table'!$C$55,LEN('NIDS DNS table'!$C$55)-FIND(".",'NIDS DNS table'!$C$55,FIND(".",'NIDS DNS table'!$C$55,FIND(".",'NIDS DNS table'!$C$55)+1)+1))," PTR ",'NIDS DNS table'!$B$54,".")</f>
        <v>zone 226.89.10.in-addr.arpa. addRR 12 PTR sia-MAIN-STCA.name.cisco.com.</v>
      </c>
    </row>
    <row r="31" ht="13.5">
      <c r="A31" s="93" t="str">
        <f>CONCATENATE("zone ",MID('NIDS DNS table'!$C$56,FIND(".",'NIDS DNS table'!$C$56,FIND(".",'NIDS DNS table'!$C$56)+1)+1,FIND(".",'NIDS DNS table'!$C$56,FIND(".",'NIDS DNS table'!$C$56,FIND(".",'NIDS DNS table'!$C$56)+1)+1)-FIND(".",'NIDS DNS table'!$C$56,FIND(".",'NIDS DNS table'!$C$56)+1)),MID('NIDS DNS table'!$C$56,FIND(".",'NIDS DNS table'!$C$56)+1,FIND(".",'NIDS DNS table'!$C$56,FIND(".",'NIDS DNS table'!$C$56)+1)-FIND(".",'NIDS DNS table'!$C$56)),LEFT('NIDS DNS table'!$C$56,FIND(".",'NIDS DNS table'!$C$56)),"in-addr.arpa. addRR ",RIGHT('NIDS DNS table'!$C$56,LEN('NIDS DNS table'!$C$56)-FIND(".",'NIDS DNS table'!$C$56,FIND(".",'NIDS DNS table'!$C$56,FIND(".",'NIDS DNS table'!$C$56)+1)+1))," PTR ",'NIDS DNS table'!$B$54,".")</f>
        <v>zone 225.89.10.in-addr.arpa. addRR 13 PTR sia-MAIN-STCA.name.cisco.com.</v>
      </c>
    </row>
    <row r="32" ht="13.5">
      <c r="A32" s="93" t="str">
        <f>CONCATENATE("zone ",MID('NIDS DNS table'!$C$57,FIND(".",'NIDS DNS table'!$C$57,FIND(".",'NIDS DNS table'!$C$57)+1)+1,FIND(".",'NIDS DNS table'!$C$57,FIND(".",'NIDS DNS table'!$C$57,FIND(".",'NIDS DNS table'!$C$57)+1)+1)-FIND(".",'NIDS DNS table'!$C$57,FIND(".",'NIDS DNS table'!$C$57)+1)),MID('NIDS DNS table'!$C$57,FIND(".",'NIDS DNS table'!$C$57)+1,FIND(".",'NIDS DNS table'!$C$57,FIND(".",'NIDS DNS table'!$C$57)+1)-FIND(".",'NIDS DNS table'!$C$57)),LEFT('NIDS DNS table'!$C$57,FIND(".",'NIDS DNS table'!$C$57)),"in-addr.arpa. addRR ",RIGHT('NIDS DNS table'!$C$57,LEN('NIDS DNS table'!$C$57)-FIND(".",'NIDS DNS table'!$C$57,FIND(".",'NIDS DNS table'!$C$57,FIND(".",'NIDS DNS table'!$C$57)+1)+1))," PTR ",'NIDS DNS table'!$B$54,".")</f>
        <v>zone 226.89.10.in-addr.arpa. addRR 13 PTR sia-MAIN-STCA.name.cisco.com.</v>
      </c>
    </row>
    <row r="33" ht="13.5">
      <c r="A33" s="93" t="str">
        <f>CONCATENATE("zone ",MID('NIDS DNS table'!$C$58,FIND(".",'NIDS DNS table'!$C$58,FIND(".",'NIDS DNS table'!$C$58)+1)+1,FIND(".",'NIDS DNS table'!$C$58,FIND(".",'NIDS DNS table'!$C$58,FIND(".",'NIDS DNS table'!$C$58)+1)+1)-FIND(".",'NIDS DNS table'!$C$58,FIND(".",'NIDS DNS table'!$C$58)+1)),MID('NIDS DNS table'!$C$58,FIND(".",'NIDS DNS table'!$C$58)+1,FIND(".",'NIDS DNS table'!$C$58,FIND(".",'NIDS DNS table'!$C$58)+1)-FIND(".",'NIDS DNS table'!$C$58)),LEFT('NIDS DNS table'!$C$58,FIND(".",'NIDS DNS table'!$C$58)),"in-addr.arpa. addRR ",RIGHT('NIDS DNS table'!$C$58,LEN('NIDS DNS table'!$C$58)-FIND(".",'NIDS DNS table'!$C$58,FIND(".",'NIDS DNS table'!$C$58,FIND(".",'NIDS DNS table'!$C$58)+1)+1))," PTR ",'NIDS DNS table'!$B$58,".")</f>
        <v>zone 225.89.10.in-addr.arpa. addRR 16 PTR sia-MAIN-STCA146.name.cisco.com.</v>
      </c>
    </row>
    <row r="34" ht="13.5">
      <c r="A34" s="93" t="str">
        <f>CONCATENATE("zone ",MID('NIDS DNS table'!$C$59,FIND(".",'NIDS DNS table'!$C$59,FIND(".",'NIDS DNS table'!$C$59)+1)+1,FIND(".",'NIDS DNS table'!$C$59,FIND(".",'NIDS DNS table'!$C$59,FIND(".",'NIDS DNS table'!$C$59)+1)+1)-FIND(".",'NIDS DNS table'!$C$59,FIND(".",'NIDS DNS table'!$C$59)+1)),MID('NIDS DNS table'!$C$59,FIND(".",'NIDS DNS table'!$C$59)+1,FIND(".",'NIDS DNS table'!$C$59,FIND(".",'NIDS DNS table'!$C$59)+1)-FIND(".",'NIDS DNS table'!$C$59)),LEFT('NIDS DNS table'!$C$59,FIND(".",'NIDS DNS table'!$C$59)),"in-addr.arpa. addRR ",RIGHT('NIDS DNS table'!$C$59,LEN('NIDS DNS table'!$C$59)-FIND(".",'NIDS DNS table'!$C$59,FIND(".",'NIDS DNS table'!$C$59,FIND(".",'NIDS DNS table'!$C$59)+1)+1))," PTR ",'NIDS DNS table'!$B$58,".")</f>
        <v>zone 226.89.10.in-addr.arpa. addRR 16 PTR sia-MAIN-STCA146.name.cisco.com.</v>
      </c>
    </row>
    <row r="35" ht="13.5">
      <c r="A35" s="93" t="str">
        <f>IF('NIDS Data Entry + Netwk tables'!$C$44="y",CONCATENATE("zone ",MID('NIDS DNS table'!$C$60,FIND(".",'NIDS DNS table'!$C$60,FIND(".",'NIDS DNS table'!$C$60)+1)+1,FIND(".",'NIDS DNS table'!$C$60,FIND(".",'NIDS DNS table'!$C$60,FIND(".",'NIDS DNS table'!$C$60)+1)+1)-FIND(".",'NIDS DNS table'!$C$60,FIND(".",'NIDS DNS table'!$C$60)+1)),MID('NIDS DNS table'!$C$60,FIND(".",'NIDS DNS table'!$C$60)+1,FIND(".",'NIDS DNS table'!$C$60,FIND(".",'NIDS DNS table'!$C$60)+1)-FIND(".",'NIDS DNS table'!$C$60)),LEFT('NIDS DNS table'!$C$60,FIND(".",'NIDS DNS table'!$C$60)),"in-addr.arpa. addRR ",RIGHT('NIDS DNS table'!$C$60,LEN('NIDS DNS table'!$C$60)-FIND(".",'NIDS DNS table'!$C$60,FIND(".",'NIDS DNS table'!$C$60,FIND(".",'NIDS DNS table'!$C$60)+1)+1))," PTR ",'NIDS DNS table'!$B$60,"."),"")</f>
        <v>zone 225.89.10.in-addr.arpa. addRR 17 PTR h3a-MAIN-STCA146.name.cisco.com.</v>
      </c>
    </row>
    <row r="36" ht="13.5">
      <c r="A36" s="93" t="str">
        <f>IF('NIDS Data Entry + Netwk tables'!$C$44="y",CONCATENATE("zone ",MID('NIDS DNS table'!$C$61,FIND(".",'NIDS DNS table'!$C$61,FIND(".",'NIDS DNS table'!$C$61)+1)+1,FIND(".",'NIDS DNS table'!$C$61,FIND(".",'NIDS DNS table'!$C$61,FIND(".",'NIDS DNS table'!$C$61)+1)+1)-FIND(".",'NIDS DNS table'!$C$61,FIND(".",'NIDS DNS table'!$C$61)+1)),MID('NIDS DNS table'!$C$61,FIND(".",'NIDS DNS table'!$C$61)+1,FIND(".",'NIDS DNS table'!$C$61,FIND(".",'NIDS DNS table'!$C$61)+1)-FIND(".",'NIDS DNS table'!$C$61)),LEFT('NIDS DNS table'!$C$61,FIND(".",'NIDS DNS table'!$C$61)),"in-addr.arpa. addRR ",RIGHT('NIDS DNS table'!$C$61,LEN('NIDS DNS table'!$C$61)-FIND(".",'NIDS DNS table'!$C$61,FIND(".",'NIDS DNS table'!$C$61,FIND(".",'NIDS DNS table'!$C$61)+1)+1))," PTR ",'NIDS DNS table'!$B$60,"."),"")</f>
        <v>zone 226.89.10.in-addr.arpa. addRR 17 PTR h3a-MAIN-STCA146.name.cisco.com.</v>
      </c>
    </row>
    <row r="37" ht="13.5">
      <c r="A37" s="93" t="str">
        <f>CONCATENATE("zone ",MID('NIDS DNS table'!$C$64,FIND(".",'NIDS DNS table'!$C$64,FIND(".",'NIDS DNS table'!$C$64)+1)+1,FIND(".",'NIDS DNS table'!$C$64,FIND(".",'NIDS DNS table'!$C$64,FIND(".",'NIDS DNS table'!$C$64)+1)+1)-FIND(".",'NIDS DNS table'!$C$64,FIND(".",'NIDS DNS table'!$C$64)+1)),MID('NIDS DNS table'!$C$64,FIND(".",'NIDS DNS table'!$C$64)+1,FIND(".",'NIDS DNS table'!$C$64,FIND(".",'NIDS DNS table'!$C$64)+1)-FIND(".",'NIDS DNS table'!$C$64)),LEFT('NIDS DNS table'!$C$64,FIND(".",'NIDS DNS table'!$C$64)),"in-addr.arpa. addRR ",RIGHT('NIDS DNS table'!$C$64,LEN('NIDS DNS table'!$C$64)-FIND(".",'NIDS DNS table'!$C$64,FIND(".",'NIDS DNS table'!$C$64,FIND(".",'NIDS DNS table'!$C$64)+1)+1))," PTR ",'NIDS DNS table'!$B$64,".")</f>
        <v>zone 225.89.10.in-addr.arpa. addRR 12 PTR anm-aMAIN-STCA.name.cisco.com.</v>
      </c>
    </row>
    <row r="38" ht="13.5">
      <c r="A38" s="93" t="str">
        <f>CONCATENATE("zone ",MID('NIDS DNS table'!$C$65,FIND(".",'NIDS DNS table'!$C$65,FIND(".",'NIDS DNS table'!$C$65)+1)+1,FIND(".",'NIDS DNS table'!$C$65,FIND(".",'NIDS DNS table'!$C$65,FIND(".",'NIDS DNS table'!$C$65)+1)+1)-FIND(".",'NIDS DNS table'!$C$65,FIND(".",'NIDS DNS table'!$C$65)+1)),MID('NIDS DNS table'!$C$65,FIND(".",'NIDS DNS table'!$C$65)+1,FIND(".",'NIDS DNS table'!$C$65,FIND(".",'NIDS DNS table'!$C$65)+1)-FIND(".",'NIDS DNS table'!$C$65)),LEFT('NIDS DNS table'!$C$65,FIND(".",'NIDS DNS table'!$C$65)),"in-addr.arpa. addRR ",RIGHT('NIDS DNS table'!$C$65,LEN('NIDS DNS table'!$C$65)-FIND(".",'NIDS DNS table'!$C$65,FIND(".",'NIDS DNS table'!$C$65,FIND(".",'NIDS DNS table'!$C$65)+1)+1))," PTR ",'NIDS DNS table'!$B$64,".")</f>
        <v>zone 226.89.10.in-addr.arpa. addRR 12 PTR anm-aMAIN-STCA.name.cisco.com.</v>
      </c>
    </row>
    <row r="39" ht="13.5">
      <c r="A39" s="93" t="str">
        <f>CONCATENATE("zone ",MID('NIDS DNS table'!$C$66,FIND(".",'NIDS DNS table'!$C$66,FIND(".",'NIDS DNS table'!$C$66)+1)+1,FIND(".",'NIDS DNS table'!$C$66,FIND(".",'NIDS DNS table'!$C$66,FIND(".",'NIDS DNS table'!$C$66)+1)+1)-FIND(".",'NIDS DNS table'!$C$66,FIND(".",'NIDS DNS table'!$C$66)+1)),MID('NIDS DNS table'!$C$66,FIND(".",'NIDS DNS table'!$C$66)+1,FIND(".",'NIDS DNS table'!$C$66,FIND(".",'NIDS DNS table'!$C$66)+1)-FIND(".",'NIDS DNS table'!$C$66)),LEFT('NIDS DNS table'!$C$66,FIND(".",'NIDS DNS table'!$C$66)),"in-addr.arpa. addRR ",RIGHT('NIDS DNS table'!$C$66,LEN('NIDS DNS table'!$C$66)-FIND(".",'NIDS DNS table'!$C$66,FIND(".",'NIDS DNS table'!$C$66,FIND(".",'NIDS DNS table'!$C$66)+1)+1))," PTR ",'NIDS DNS table'!$B$66,".")</f>
        <v>zone 225.89.10.in-addr.arpa. addRR 13 PTR anm-bMAIN-STCA.name.cisco.com.</v>
      </c>
    </row>
    <row r="40" ht="13.5">
      <c r="A40" s="93" t="str">
        <f>CONCATENATE("zone ",MID('NIDS DNS table'!$C$67,FIND(".",'NIDS DNS table'!$C$67,FIND(".",'NIDS DNS table'!$C$67)+1)+1,FIND(".",'NIDS DNS table'!$C$67,FIND(".",'NIDS DNS table'!$C$67,FIND(".",'NIDS DNS table'!$C$67)+1)+1)-FIND(".",'NIDS DNS table'!$C$67,FIND(".",'NIDS DNS table'!$C$67)+1)),MID('NIDS DNS table'!$C$67,FIND(".",'NIDS DNS table'!$C$67)+1,FIND(".",'NIDS DNS table'!$C$67,FIND(".",'NIDS DNS table'!$C$67)+1)-FIND(".",'NIDS DNS table'!$C$67)),LEFT('NIDS DNS table'!$C$67,FIND(".",'NIDS DNS table'!$C$67)),"in-addr.arpa. addRR ",RIGHT('NIDS DNS table'!$C$67,LEN('NIDS DNS table'!$C$67)-FIND(".",'NIDS DNS table'!$C$67,FIND(".",'NIDS DNS table'!$C$67,FIND(".",'NIDS DNS table'!$C$67)+1)+1))," PTR ",'NIDS DNS table'!$B$66,".")</f>
        <v>zone 226.89.10.in-addr.arpa. addRR 13 PTR anm-bMAIN-STCA.name.cisco.com.</v>
      </c>
    </row>
    <row r="41" ht="13.5">
      <c r="A41" s="93" t="str">
        <f>CONCATENATE("zone ",MID('NIDS DNS table'!$C$68,FIND(".",'NIDS DNS table'!$C$68,FIND(".",'NIDS DNS table'!$C$68)+1)+1,FIND(".",'NIDS DNS table'!$C$68,FIND(".",'NIDS DNS table'!$C$68,FIND(".",'NIDS DNS table'!$C$68)+1)+1)-FIND(".",'NIDS DNS table'!$C$68,FIND(".",'NIDS DNS table'!$C$68)+1)),MID('NIDS DNS table'!$C$68,FIND(".",'NIDS DNS table'!$C$68)+1,FIND(".",'NIDS DNS table'!$C$68,FIND(".",'NIDS DNS table'!$C$68)+1)-FIND(".",'NIDS DNS table'!$C$68)),LEFT('NIDS DNS table'!$C$68,FIND(".",'NIDS DNS table'!$C$68)),"in-addr.arpa. addRR ",RIGHT('NIDS DNS table'!$C$68,LEN('NIDS DNS table'!$C$68)-FIND(".",'NIDS DNS table'!$C$68,FIND(".",'NIDS DNS table'!$C$68,FIND(".",'NIDS DNS table'!$C$68)+1)+1))," PTR ",'NIDS DNS table'!$B$68,".")</f>
        <v>zone 225.89.10.in-addr.arpa. addRR 12 PTR sga-aMAIN-STCA.name.cisco.com.</v>
      </c>
    </row>
    <row r="42" ht="13.5">
      <c r="A42" s="93" t="str">
        <f>CONCATENATE("zone ",MID('NIDS DNS table'!$C$69,FIND(".",'NIDS DNS table'!$C$69,FIND(".",'NIDS DNS table'!$C$69)+1)+1,FIND(".",'NIDS DNS table'!$C$69,FIND(".",'NIDS DNS table'!$C$69,FIND(".",'NIDS DNS table'!$C$69)+1)+1)-FIND(".",'NIDS DNS table'!$C$69,FIND(".",'NIDS DNS table'!$C$69)+1)),MID('NIDS DNS table'!$C$69,FIND(".",'NIDS DNS table'!$C$69)+1,FIND(".",'NIDS DNS table'!$C$69,FIND(".",'NIDS DNS table'!$C$69)+1)-FIND(".",'NIDS DNS table'!$C$69)),LEFT('NIDS DNS table'!$C$69,FIND(".",'NIDS DNS table'!$C$69)),"in-addr.arpa. addRR ",RIGHT('NIDS DNS table'!$C$69,LEN('NIDS DNS table'!$C$69)-FIND(".",'NIDS DNS table'!$C$69,FIND(".",'NIDS DNS table'!$C$69,FIND(".",'NIDS DNS table'!$C$69)+1)+1))," PTR ",'NIDS DNS table'!$B$68,".")</f>
        <v>zone 226.89.10.in-addr.arpa. addRR 12 PTR sga-aMAIN-STCA.name.cisco.com.</v>
      </c>
    </row>
    <row r="43" ht="13.5">
      <c r="A43" s="93" t="str">
        <f>CONCATENATE("zone ",MID('NIDS DNS table'!$C$70,FIND(".",'NIDS DNS table'!$C$70,FIND(".",'NIDS DNS table'!$C$70)+1)+1,FIND(".",'NIDS DNS table'!$C$70,FIND(".",'NIDS DNS table'!$C$70,FIND(".",'NIDS DNS table'!$C$70)+1)+1)-FIND(".",'NIDS DNS table'!$C$70,FIND(".",'NIDS DNS table'!$C$70)+1)),MID('NIDS DNS table'!$C$70,FIND(".",'NIDS DNS table'!$C$70)+1,FIND(".",'NIDS DNS table'!$C$70,FIND(".",'NIDS DNS table'!$C$70)+1)-FIND(".",'NIDS DNS table'!$C$70)),LEFT('NIDS DNS table'!$C$70,FIND(".",'NIDS DNS table'!$C$70)),"in-addr.arpa. addRR ",RIGHT('NIDS DNS table'!$C$70,LEN('NIDS DNS table'!$C$70)-FIND(".",'NIDS DNS table'!$C$70,FIND(".",'NIDS DNS table'!$C$70,FIND(".",'NIDS DNS table'!$C$70)+1)+1))," PTR ",'NIDS DNS table'!$B$70,".")</f>
        <v>zone 225.89.10.in-addr.arpa. addRR 13 PTR sga-bMAIN-STCA.name.cisco.com.</v>
      </c>
    </row>
    <row r="44" ht="13.5">
      <c r="A44" s="93" t="str">
        <f>CONCATENATE("zone ",MID('NIDS DNS table'!$C$71,FIND(".",'NIDS DNS table'!$C$71,FIND(".",'NIDS DNS table'!$C$71)+1)+1,FIND(".",'NIDS DNS table'!$C$71,FIND(".",'NIDS DNS table'!$C$71,FIND(".",'NIDS DNS table'!$C$71)+1)+1)-FIND(".",'NIDS DNS table'!$C$71,FIND(".",'NIDS DNS table'!$C$71)+1)),MID('NIDS DNS table'!$C$71,FIND(".",'NIDS DNS table'!$C$71)+1,FIND(".",'NIDS DNS table'!$C$71,FIND(".",'NIDS DNS table'!$C$71)+1)-FIND(".",'NIDS DNS table'!$C$71)),LEFT('NIDS DNS table'!$C$71,FIND(".",'NIDS DNS table'!$C$71)),"in-addr.arpa. addRR ",RIGHT('NIDS DNS table'!$C$71,LEN('NIDS DNS table'!$C$71)-FIND(".",'NIDS DNS table'!$C$71,FIND(".",'NIDS DNS table'!$C$71,FIND(".",'NIDS DNS table'!$C$71)+1)+1))," PTR ",'NIDS DNS table'!$B$70,".")</f>
        <v>zone 226.89.10.in-addr.arpa. addRR 13 PTR sga-bMAIN-STCA.name.cisco.com.</v>
      </c>
    </row>
    <row r="45" ht="13.5">
      <c r="A45" s="93" t="str">
        <f>CONCATENATE("zone ",MID('NIDS DNS table'!$C$72,FIND(".",'NIDS DNS table'!$C$72,FIND(".",'NIDS DNS table'!$C$72)+1)+1,FIND(".",'NIDS DNS table'!$C$72,FIND(".",'NIDS DNS table'!$C$72,FIND(".",'NIDS DNS table'!$C$72)+1)+1)-FIND(".",'NIDS DNS table'!$C$72,FIND(".",'NIDS DNS table'!$C$72)+1)),MID('NIDS DNS table'!$C$72,FIND(".",'NIDS DNS table'!$C$72)+1,FIND(".",'NIDS DNS table'!$C$72,FIND(".",'NIDS DNS table'!$C$72)+1)-FIND(".",'NIDS DNS table'!$C$72)),LEFT('NIDS DNS table'!$C$72,FIND(".",'NIDS DNS table'!$C$72)),"in-addr.arpa. addRR ",RIGHT('NIDS DNS table'!$C$72,LEN('NIDS DNS table'!$C$72)-FIND(".",'NIDS DNS table'!$C$72,FIND(".",'NIDS DNS table'!$C$72,FIND(".",'NIDS DNS table'!$C$72)+1)+1))," PTR ",'NIDS DNS table'!$B$72,".")</f>
        <v>zone 225.89.10.in-addr.arpa. addRR 12 PTR bsm-a1MAIN-STCA.name.cisco.com.</v>
      </c>
    </row>
    <row r="46" ht="13.5">
      <c r="A46" s="93" t="str">
        <f>CONCATENATE("zone ",MID('NIDS DNS table'!$C$73,FIND(".",'NIDS DNS table'!$C$73,FIND(".",'NIDS DNS table'!$C$73)+1)+1,FIND(".",'NIDS DNS table'!$C$73,FIND(".",'NIDS DNS table'!$C$73,FIND(".",'NIDS DNS table'!$C$73)+1)+1)-FIND(".",'NIDS DNS table'!$C$73,FIND(".",'NIDS DNS table'!$C$73)+1)),MID('NIDS DNS table'!$C$73,FIND(".",'NIDS DNS table'!$C$73)+1,FIND(".",'NIDS DNS table'!$C$73,FIND(".",'NIDS DNS table'!$C$73)+1)-FIND(".",'NIDS DNS table'!$C$73)),LEFT('NIDS DNS table'!$C$73,FIND(".",'NIDS DNS table'!$C$73)),"in-addr.arpa. addRR ",RIGHT('NIDS DNS table'!$C$73,LEN('NIDS DNS table'!$C$73)-FIND(".",'NIDS DNS table'!$C$73,FIND(".",'NIDS DNS table'!$C$73,FIND(".",'NIDS DNS table'!$C$73)+1)+1))," PTR ",'NIDS DNS table'!$B$73,".")</f>
        <v>zone 226.89.10.in-addr.arpa. addRR 12 PTR bsm-a2MAIN-STCA.name.cisco.com.</v>
      </c>
    </row>
    <row r="47" ht="13.5">
      <c r="A47" s="93" t="str">
        <f>CONCATENATE("zone ",MID('NIDS DNS table'!$C$74,FIND(".",'NIDS DNS table'!$C$74,FIND(".",'NIDS DNS table'!$C$74)+1)+1,FIND(".",'NIDS DNS table'!$C$74,FIND(".",'NIDS DNS table'!$C$74,FIND(".",'NIDS DNS table'!$C$74)+1)+1)-FIND(".",'NIDS DNS table'!$C$74,FIND(".",'NIDS DNS table'!$C$74)+1)),MID('NIDS DNS table'!$C$74,FIND(".",'NIDS DNS table'!$C$74)+1,FIND(".",'NIDS DNS table'!$C$74,FIND(".",'NIDS DNS table'!$C$74)+1)-FIND(".",'NIDS DNS table'!$C$74)),LEFT('NIDS DNS table'!$C$74,FIND(".",'NIDS DNS table'!$C$74)),"in-addr.arpa. addRR ",RIGHT('NIDS DNS table'!$C$74,LEN('NIDS DNS table'!$C$74)-FIND(".",'NIDS DNS table'!$C$74,FIND(".",'NIDS DNS table'!$C$74,FIND(".",'NIDS DNS table'!$C$74)+1)+1))," PTR ",'NIDS DNS table'!$B$74,".")</f>
        <v>zone 225.89.10.in-addr.arpa. addRR 13 PTR bsm-b1MAIN-STCA.name.cisco.com.</v>
      </c>
    </row>
    <row r="48" ht="13.5">
      <c r="A48" s="93" t="str">
        <f>CONCATENATE("zone ",MID('NIDS DNS table'!$C$75,FIND(".",'NIDS DNS table'!$C$75,FIND(".",'NIDS DNS table'!$C$75)+1)+1,FIND(".",'NIDS DNS table'!$C$75,FIND(".",'NIDS DNS table'!$C$75,FIND(".",'NIDS DNS table'!$C$75)+1)+1)-FIND(".",'NIDS DNS table'!$C$75,FIND(".",'NIDS DNS table'!$C$75)+1)),MID('NIDS DNS table'!$C$75,FIND(".",'NIDS DNS table'!$C$75)+1,FIND(".",'NIDS DNS table'!$C$75,FIND(".",'NIDS DNS table'!$C$75)+1)-FIND(".",'NIDS DNS table'!$C$75)),LEFT('NIDS DNS table'!$C$75,FIND(".",'NIDS DNS table'!$C$75)),"in-addr.arpa. addRR ",RIGHT('NIDS DNS table'!$C$75,LEN('NIDS DNS table'!$C$75)-FIND(".",'NIDS DNS table'!$C$75,FIND(".",'NIDS DNS table'!$C$75,FIND(".",'NIDS DNS table'!$C$75)+1)+1))," PTR ",'NIDS DNS table'!$B$75,".")</f>
        <v>zone 226.89.10.in-addr.arpa. addRR 13 PTR bsm-b2MAIN-STCA.name.cisco.com.</v>
      </c>
    </row>
    <row r="49" ht="13.5">
      <c r="A49" s="93" t="str">
        <f>CONCATENATE("zone ",MID('NIDS DNS table'!$C$78,FIND(".",'NIDS DNS table'!$C$78,FIND(".",'NIDS DNS table'!$C$78)+1)+1,FIND(".",'NIDS DNS table'!$C$78,FIND(".",'NIDS DNS table'!$C$78,FIND(".",'NIDS DNS table'!$C$78)+1)+1)-FIND(".",'NIDS DNS table'!$C$78,FIND(".",'NIDS DNS table'!$C$78)+1)),MID('NIDS DNS table'!$C$78,FIND(".",'NIDS DNS table'!$C$78)+1,FIND(".",'NIDS DNS table'!$C$78,FIND(".",'NIDS DNS table'!$C$78)+1)-FIND(".",'NIDS DNS table'!$C$78)),LEFT('NIDS DNS table'!$C$78,FIND(".",'NIDS DNS table'!$C$78)),"in-addr.arpa. addRR ",RIGHT('NIDS DNS table'!$C$78,LEN('NIDS DNS table'!$C$78)-FIND(".",'NIDS DNS table'!$C$78,FIND(".",'NIDS DNS table'!$C$78,FIND(".",'NIDS DNS table'!$C$78)+1)+1))," PTR ",'NIDS DNS table'!$B$78,".")</f>
        <v>zone 225.89.10.in-addr.arpa. addRR 12 PTR crit-aMAIN-STAIN.name.cisco.com.</v>
      </c>
    </row>
    <row r="50" ht="13.5">
      <c r="A50" s="93" t="str">
        <f>CONCATENATE("zone ",MID('NIDS DNS table'!$C$79,FIND(".",'NIDS DNS table'!$C$79,FIND(".",'NIDS DNS table'!$C$79)+1)+1,FIND(".",'NIDS DNS table'!$C$79,FIND(".",'NIDS DNS table'!$C$79,FIND(".",'NIDS DNS table'!$C$79)+1)+1)-FIND(".",'NIDS DNS table'!$C$79,FIND(".",'NIDS DNS table'!$C$79)+1)),MID('NIDS DNS table'!$C$79,FIND(".",'NIDS DNS table'!$C$79)+1,FIND(".",'NIDS DNS table'!$C$79,FIND(".",'NIDS DNS table'!$C$79)+1)-FIND(".",'NIDS DNS table'!$C$79)),LEFT('NIDS DNS table'!$C$79,FIND(".",'NIDS DNS table'!$C$79)),"in-addr.arpa. addRR ",RIGHT('NIDS DNS table'!$C$79,LEN('NIDS DNS table'!$C$79)-FIND(".",'NIDS DNS table'!$C$79,FIND(".",'NIDS DNS table'!$C$79,FIND(".",'NIDS DNS table'!$C$79)+1)+1))," PTR ",'NIDS DNS table'!$B$78,".")</f>
        <v>zone 226.89.10.in-addr.arpa. addRR 12 PTR crit-aMAIN-STAIN.name.cisco.com.</v>
      </c>
    </row>
    <row r="51" ht="13.5">
      <c r="A51" s="93" t="str">
        <f>CONCATENATE("zone ",MID('NIDS DNS table'!$C$80,FIND(".",'NIDS DNS table'!$C$80,FIND(".",'NIDS DNS table'!$C$80)+1)+1,FIND(".",'NIDS DNS table'!$C$80,FIND(".",'NIDS DNS table'!$C$80,FIND(".",'NIDS DNS table'!$C$80)+1)+1)-FIND(".",'NIDS DNS table'!$C$80,FIND(".",'NIDS DNS table'!$C$80)+1)),MID('NIDS DNS table'!$C$80,FIND(".",'NIDS DNS table'!$C$80)+1,FIND(".",'NIDS DNS table'!$C$80,FIND(".",'NIDS DNS table'!$C$80)+1)-FIND(".",'NIDS DNS table'!$C$80)),LEFT('NIDS DNS table'!$C$80,FIND(".",'NIDS DNS table'!$C$80)),"in-addr.arpa. addRR ",RIGHT('NIDS DNS table'!$C$80,LEN('NIDS DNS table'!$C$80)-FIND(".",'NIDS DNS table'!$C$80,FIND(".",'NIDS DNS table'!$C$80,FIND(".",'NIDS DNS table'!$C$80)+1)+1))," PTR ",'NIDS DNS table'!$B$80,".")</f>
        <v>zone 225.89.10.in-addr.arpa. addRR 13 PTR crit-bMAIN-STAIN.name.cisco.com.</v>
      </c>
    </row>
    <row r="52" ht="13.5">
      <c r="A52" s="93" t="str">
        <f>CONCATENATE("zone ",MID('NIDS DNS table'!$C$81,FIND(".",'NIDS DNS table'!$C$81,FIND(".",'NIDS DNS table'!$C$81)+1)+1,FIND(".",'NIDS DNS table'!$C$81,FIND(".",'NIDS DNS table'!$C$81,FIND(".",'NIDS DNS table'!$C$81)+1)+1)-FIND(".",'NIDS DNS table'!$C$81,FIND(".",'NIDS DNS table'!$C$81)+1)),MID('NIDS DNS table'!$C$81,FIND(".",'NIDS DNS table'!$C$81)+1,FIND(".",'NIDS DNS table'!$C$81,FIND(".",'NIDS DNS table'!$C$81)+1)-FIND(".",'NIDS DNS table'!$C$81)),LEFT('NIDS DNS table'!$C$81,FIND(".",'NIDS DNS table'!$C$81)),"in-addr.arpa. addRR ",RIGHT('NIDS DNS table'!$C$81,LEN('NIDS DNS table'!$C$81)-FIND(".",'NIDS DNS table'!$C$81,FIND(".",'NIDS DNS table'!$C$81,FIND(".",'NIDS DNS table'!$C$81)+1)+1))," PTR ",'NIDS DNS table'!$B$80,".")</f>
        <v>zone 226.89.10.in-addr.arpa. addRR 13 PTR crit-bMAIN-STAIN.name.cisco.com.</v>
      </c>
    </row>
    <row r="53" ht="13.5">
      <c r="A53" s="93" t="str">
        <f>CONCATENATE("zone ",MID('NIDS DNS table'!$C$82,FIND(".",'NIDS DNS table'!$C$82,FIND(".",'NIDS DNS table'!$C$82)+1)+1,FIND(".",'NIDS DNS table'!$C$82,FIND(".",'NIDS DNS table'!$C$82,FIND(".",'NIDS DNS table'!$C$82)+1)+1)-FIND(".",'NIDS DNS table'!$C$82,FIND(".",'NIDS DNS table'!$C$82)+1)),MID('NIDS DNS table'!$C$82,FIND(".",'NIDS DNS table'!$C$82)+1,FIND(".",'NIDS DNS table'!$C$82,FIND(".",'NIDS DNS table'!$C$82)+1)-FIND(".",'NIDS DNS table'!$C$82)),LEFT('NIDS DNS table'!$C$82,FIND(".",'NIDS DNS table'!$C$82)),"in-addr.arpa. addRR ",RIGHT('NIDS DNS table'!$C$82,LEN('NIDS DNS table'!$C$82)-FIND(".",'NIDS DNS table'!$C$82,FIND(".",'NIDS DNS table'!$C$82,FIND(".",'NIDS DNS table'!$C$82)+1)+1))," PTR ",'NIDS DNS table'!$B$82,".")</f>
        <v>zone 225.89.10.in-addr.arpa. addRR 12 PTR sgw-aMAIN-STAIN.name.cisco.com.</v>
      </c>
    </row>
    <row r="54" ht="13.5">
      <c r="A54" s="93" t="str">
        <f>CONCATENATE("zone ",MID('NIDS DNS table'!$C$83,FIND(".",'NIDS DNS table'!$C$83,FIND(".",'NIDS DNS table'!$C$83)+1)+1,FIND(".",'NIDS DNS table'!$C$83,FIND(".",'NIDS DNS table'!$C$83,FIND(".",'NIDS DNS table'!$C$83)+1)+1)-FIND(".",'NIDS DNS table'!$C$83,FIND(".",'NIDS DNS table'!$C$83)+1)),MID('NIDS DNS table'!$C$83,FIND(".",'NIDS DNS table'!$C$83)+1,FIND(".",'NIDS DNS table'!$C$83,FIND(".",'NIDS DNS table'!$C$83)+1)-FIND(".",'NIDS DNS table'!$C$83)),LEFT('NIDS DNS table'!$C$83,FIND(".",'NIDS DNS table'!$C$83)),"in-addr.arpa. addRR ",RIGHT('NIDS DNS table'!$C$83,LEN('NIDS DNS table'!$C$83)-FIND(".",'NIDS DNS table'!$C$83,FIND(".",'NIDS DNS table'!$C$83,FIND(".",'NIDS DNS table'!$C$83)+1)+1))," PTR ",'NIDS DNS table'!$B$82,".")</f>
        <v>zone 226.89.10.in-addr.arpa. addRR 12 PTR sgw-aMAIN-STAIN.name.cisco.com.</v>
      </c>
    </row>
    <row r="55" ht="13.5">
      <c r="A55" s="93" t="str">
        <f>CONCATENATE("zone ",MID('NIDS DNS table'!$C$84,FIND(".",'NIDS DNS table'!$C$84,FIND(".",'NIDS DNS table'!$C$84)+1)+1,FIND(".",'NIDS DNS table'!$C$84,FIND(".",'NIDS DNS table'!$C$84,FIND(".",'NIDS DNS table'!$C$84)+1)+1)-FIND(".",'NIDS DNS table'!$C$84,FIND(".",'NIDS DNS table'!$C$84)+1)),MID('NIDS DNS table'!$C$84,FIND(".",'NIDS DNS table'!$C$84)+1,FIND(".",'NIDS DNS table'!$C$84,FIND(".",'NIDS DNS table'!$C$84)+1)-FIND(".",'NIDS DNS table'!$C$84)),LEFT('NIDS DNS table'!$C$84,FIND(".",'NIDS DNS table'!$C$84)),"in-addr.arpa. addRR ",RIGHT('NIDS DNS table'!$C$84,LEN('NIDS DNS table'!$C$84)-FIND(".",'NIDS DNS table'!$C$84,FIND(".",'NIDS DNS table'!$C$84,FIND(".",'NIDS DNS table'!$C$84)+1)+1))," PTR ",'NIDS DNS table'!$B$84,".")</f>
        <v>zone 225.89.10.in-addr.arpa. addRR 13 PTR sgw-bMAIN-STAIN.name.cisco.com.</v>
      </c>
    </row>
    <row r="56" ht="13.5">
      <c r="A56" s="93" t="str">
        <f>CONCATENATE("zone ",MID('NIDS DNS table'!$C$85,FIND(".",'NIDS DNS table'!$C$85,FIND(".",'NIDS DNS table'!$C$85)+1)+1,FIND(".",'NIDS DNS table'!$C$85,FIND(".",'NIDS DNS table'!$C$85,FIND(".",'NIDS DNS table'!$C$85)+1)+1)-FIND(".",'NIDS DNS table'!$C$85,FIND(".",'NIDS DNS table'!$C$85)+1)),MID('NIDS DNS table'!$C$85,FIND(".",'NIDS DNS table'!$C$85)+1,FIND(".",'NIDS DNS table'!$C$85,FIND(".",'NIDS DNS table'!$C$85)+1)-FIND(".",'NIDS DNS table'!$C$85)),LEFT('NIDS DNS table'!$C$85,FIND(".",'NIDS DNS table'!$C$85)),"in-addr.arpa. addRR ",RIGHT('NIDS DNS table'!$C$85,LEN('NIDS DNS table'!$C$85)-FIND(".",'NIDS DNS table'!$C$85,FIND(".",'NIDS DNS table'!$C$85,FIND(".",'NIDS DNS table'!$C$85)+1)+1))," PTR ",'NIDS DNS table'!$B$84,".")</f>
        <v>zone 226.89.10.in-addr.arpa. addRR 13 PTR sgw-bMAIN-STAIN.name.cisco.com.</v>
      </c>
    </row>
    <row r="57" ht="13.5">
      <c r="A57" s="93" t="str">
        <f>CONCATENATE("zone ",MID('NIDS DNS table'!$C$88,FIND(".",'NIDS DNS table'!$C$88,FIND(".",'NIDS DNS table'!$C$88)+1)+1,FIND(".",'NIDS DNS table'!$C$88,FIND(".",'NIDS DNS table'!$C$88,FIND(".",'NIDS DNS table'!$C$88)+1)+1)-FIND(".",'NIDS DNS table'!$C$88,FIND(".",'NIDS DNS table'!$C$88)+1)),MID('NIDS DNS table'!$C$88,FIND(".",'NIDS DNS table'!$C$88)+1,FIND(".",'NIDS DNS table'!$C$88,FIND(".",'NIDS DNS table'!$C$88)+1)-FIND(".",'NIDS DNS table'!$C$88)),LEFT('NIDS DNS table'!$C$88,FIND(".",'NIDS DNS table'!$C$88)),"in-addr.arpa. addRR ",RIGHT('NIDS DNS table'!$C$88,LEN('NIDS DNS table'!$C$88)-FIND(".",'NIDS DNS table'!$C$88,FIND(".",'NIDS DNS table'!$C$88,FIND(".",'NIDS DNS table'!$C$88)+1)+1))," PTR ",'NIDS DNS table'!$B$88,".")</f>
        <v>zone 225.89.10.in-addr.arpa. addRR 12 PTR crit-aMAIN-STPTC.name.cisco.com.</v>
      </c>
    </row>
    <row r="58" ht="13.5">
      <c r="A58" s="93" t="str">
        <f>CONCATENATE("zone ",MID('NIDS DNS table'!$C$89,FIND(".",'NIDS DNS table'!$C$89,FIND(".",'NIDS DNS table'!$C$89)+1)+1,FIND(".",'NIDS DNS table'!$C$89,FIND(".",'NIDS DNS table'!$C$89,FIND(".",'NIDS DNS table'!$C$89)+1)+1)-FIND(".",'NIDS DNS table'!$C$89,FIND(".",'NIDS DNS table'!$C$89)+1)),MID('NIDS DNS table'!$C$89,FIND(".",'NIDS DNS table'!$C$89)+1,FIND(".",'NIDS DNS table'!$C$89,FIND(".",'NIDS DNS table'!$C$89)+1)-FIND(".",'NIDS DNS table'!$C$89)),LEFT('NIDS DNS table'!$C$89,FIND(".",'NIDS DNS table'!$C$89)),"in-addr.arpa. addRR ",RIGHT('NIDS DNS table'!$C$89,LEN('NIDS DNS table'!$C$89)-FIND(".",'NIDS DNS table'!$C$89,FIND(".",'NIDS DNS table'!$C$89,FIND(".",'NIDS DNS table'!$C$89)+1)+1))," PTR ",'NIDS DNS table'!$B$88,".")</f>
        <v>zone 226.89.10.in-addr.arpa. addRR 12 PTR crit-aMAIN-STPTC.name.cisco.com.</v>
      </c>
    </row>
    <row r="59" ht="13.5">
      <c r="A59" s="93" t="str">
        <f>CONCATENATE("zone ",MID('NIDS DNS table'!$C$90,FIND(".",'NIDS DNS table'!$C$90,FIND(".",'NIDS DNS table'!$C$90)+1)+1,FIND(".",'NIDS DNS table'!$C$90,FIND(".",'NIDS DNS table'!$C$90,FIND(".",'NIDS DNS table'!$C$90)+1)+1)-FIND(".",'NIDS DNS table'!$C$90,FIND(".",'NIDS DNS table'!$C$90)+1)),MID('NIDS DNS table'!$C$90,FIND(".",'NIDS DNS table'!$C$90)+1,FIND(".",'NIDS DNS table'!$C$90,FIND(".",'NIDS DNS table'!$C$90)+1)-FIND(".",'NIDS DNS table'!$C$90)),LEFT('NIDS DNS table'!$C$90,FIND(".",'NIDS DNS table'!$C$90)),"in-addr.arpa. addRR ",RIGHT('NIDS DNS table'!$C$90,LEN('NIDS DNS table'!$C$90)-FIND(".",'NIDS DNS table'!$C$90,FIND(".",'NIDS DNS table'!$C$90,FIND(".",'NIDS DNS table'!$C$90)+1)+1))," PTR ",'NIDS DNS table'!$B$90,".")</f>
        <v>zone 225.89.10.in-addr.arpa. addRR 13 PTR crit-bMAIN-STPTC.name.cisco.com.</v>
      </c>
    </row>
    <row r="60" ht="13.5">
      <c r="A60" s="93" t="str">
        <f>CONCATENATE("zone ",MID('NIDS DNS table'!$C$91,FIND(".",'NIDS DNS table'!$C$91,FIND(".",'NIDS DNS table'!$C$91)+1)+1,FIND(".",'NIDS DNS table'!$C$91,FIND(".",'NIDS DNS table'!$C$91,FIND(".",'NIDS DNS table'!$C$91)+1)+1)-FIND(".",'NIDS DNS table'!$C$91,FIND(".",'NIDS DNS table'!$C$91)+1)),MID('NIDS DNS table'!$C$91,FIND(".",'NIDS DNS table'!$C$91)+1,FIND(".",'NIDS DNS table'!$C$91,FIND(".",'NIDS DNS table'!$C$91)+1)-FIND(".",'NIDS DNS table'!$C$91)),LEFT('NIDS DNS table'!$C$91,FIND(".",'NIDS DNS table'!$C$91)),"in-addr.arpa. addRR ",RIGHT('NIDS DNS table'!$C$91,LEN('NIDS DNS table'!$C$91)-FIND(".",'NIDS DNS table'!$C$91,FIND(".",'NIDS DNS table'!$C$91,FIND(".",'NIDS DNS table'!$C$91)+1)+1))," PTR ",'NIDS DNS table'!$B$90,".")</f>
        <v>zone 226.89.10.in-addr.arpa. addRR 13 PTR crit-bMAIN-STPTC.name.cisco.com.</v>
      </c>
    </row>
    <row r="61" ht="13.5">
      <c r="A61" s="93" t="str">
        <f>CONCATENATE("zone ",MID('NIDS DNS table'!$C$92,FIND(".",'NIDS DNS table'!$C$92,FIND(".",'NIDS DNS table'!$C$92)+1)+1,FIND(".",'NIDS DNS table'!$C$92,FIND(".",'NIDS DNS table'!$C$92,FIND(".",'NIDS DNS table'!$C$92)+1)+1)-FIND(".",'NIDS DNS table'!$C$92,FIND(".",'NIDS DNS table'!$C$92)+1)),MID('NIDS DNS table'!$C$92,FIND(".",'NIDS DNS table'!$C$92)+1,FIND(".",'NIDS DNS table'!$C$92,FIND(".",'NIDS DNS table'!$C$92)+1)-FIND(".",'NIDS DNS table'!$C$92)),LEFT('NIDS DNS table'!$C$92,FIND(".",'NIDS DNS table'!$C$92)),"in-addr.arpa. addRR ",RIGHT('NIDS DNS table'!$C$92,LEN('NIDS DNS table'!$C$92)-FIND(".",'NIDS DNS table'!$C$92,FIND(".",'NIDS DNS table'!$C$92,FIND(".",'NIDS DNS table'!$C$92)+1)+1))," PTR ",'NIDS DNS table'!$B$92,".")</f>
        <v>zone 225.89.10.in-addr.arpa. addRR 12 PTR sgw-aMAIN-STPTC.name.cisco.com.</v>
      </c>
    </row>
    <row r="62" ht="13.5">
      <c r="A62" s="93" t="str">
        <f>CONCATENATE("zone ",MID('NIDS DNS table'!$C$93,FIND(".",'NIDS DNS table'!$C$93,FIND(".",'NIDS DNS table'!$C$93)+1)+1,FIND(".",'NIDS DNS table'!$C$93,FIND(".",'NIDS DNS table'!$C$93,FIND(".",'NIDS DNS table'!$C$93)+1)+1)-FIND(".",'NIDS DNS table'!$C$93,FIND(".",'NIDS DNS table'!$C$93)+1)),MID('NIDS DNS table'!$C$93,FIND(".",'NIDS DNS table'!$C$93)+1,FIND(".",'NIDS DNS table'!$C$93,FIND(".",'NIDS DNS table'!$C$93)+1)-FIND(".",'NIDS DNS table'!$C$93)),LEFT('NIDS DNS table'!$C$93,FIND(".",'NIDS DNS table'!$C$93)),"in-addr.arpa. addRR ",RIGHT('NIDS DNS table'!$C$93,LEN('NIDS DNS table'!$C$93)-FIND(".",'NIDS DNS table'!$C$93,FIND(".",'NIDS DNS table'!$C$93,FIND(".",'NIDS DNS table'!$C$93)+1)+1))," PTR ",'NIDS DNS table'!$B$92,".")</f>
        <v>zone 226.89.10.in-addr.arpa. addRR 12 PTR sgw-aMAIN-STPTC.name.cisco.com.</v>
      </c>
    </row>
    <row r="63" ht="13.5">
      <c r="A63" s="93" t="str">
        <f>CONCATENATE("zone ",MID('NIDS DNS table'!$C$94,FIND(".",'NIDS DNS table'!$C$94,FIND(".",'NIDS DNS table'!$C$94)+1)+1,FIND(".",'NIDS DNS table'!$C$94,FIND(".",'NIDS DNS table'!$C$94,FIND(".",'NIDS DNS table'!$C$94)+1)+1)-FIND(".",'NIDS DNS table'!$C$94,FIND(".",'NIDS DNS table'!$C$94)+1)),MID('NIDS DNS table'!$C$94,FIND(".",'NIDS DNS table'!$C$94)+1,FIND(".",'NIDS DNS table'!$C$94,FIND(".",'NIDS DNS table'!$C$94)+1)-FIND(".",'NIDS DNS table'!$C$94)),LEFT('NIDS DNS table'!$C$94,FIND(".",'NIDS DNS table'!$C$94)),"in-addr.arpa. addRR ",RIGHT('NIDS DNS table'!$C$94,LEN('NIDS DNS table'!$C$94)-FIND(".",'NIDS DNS table'!$C$94,FIND(".",'NIDS DNS table'!$C$94,FIND(".",'NIDS DNS table'!$C$94)+1)+1))," PTR ",'NIDS DNS table'!$B$94,".")</f>
        <v>zone 225.89.10.in-addr.arpa. addRR 13 PTR sgw-bMAIN-STPTC.name.cisco.com.</v>
      </c>
    </row>
    <row r="64" ht="13.5">
      <c r="A64" s="93" t="str">
        <f>CONCATENATE("zone ",MID('NIDS DNS table'!$C$95,FIND(".",'NIDS DNS table'!$C$95,FIND(".",'NIDS DNS table'!$C$95)+1)+1,FIND(".",'NIDS DNS table'!$C$95,FIND(".",'NIDS DNS table'!$C$95,FIND(".",'NIDS DNS table'!$C$95)+1)+1)-FIND(".",'NIDS DNS table'!$C$95,FIND(".",'NIDS DNS table'!$C$95)+1)),MID('NIDS DNS table'!$C$95,FIND(".",'NIDS DNS table'!$C$95)+1,FIND(".",'NIDS DNS table'!$C$95,FIND(".",'NIDS DNS table'!$C$95)+1)-FIND(".",'NIDS DNS table'!$C$95)),LEFT('NIDS DNS table'!$C$95,FIND(".",'NIDS DNS table'!$C$95)),"in-addr.arpa. addRR ",RIGHT('NIDS DNS table'!$C$95,LEN('NIDS DNS table'!$C$95)-FIND(".",'NIDS DNS table'!$C$95,FIND(".",'NIDS DNS table'!$C$95,FIND(".",'NIDS DNS table'!$C$95)+1)+1))," PTR ",'NIDS DNS table'!$B$94,".")</f>
        <v>zone 226.89.10.in-addr.arpa. addRR 13 PTR sgw-bMAIN-STPTC.name.cisco.com.</v>
      </c>
    </row>
    <row r="65" ht="13.5">
      <c r="A65" s="93" t="str">
        <f>CONCATENATE("zone ",MID('NIDS DNS table'!$C$96,FIND(".",'NIDS DNS table'!$C$96,FIND(".",'NIDS DNS table'!$C$96)+1)+1,FIND(".",'NIDS DNS table'!$C$96,FIND(".",'NIDS DNS table'!$C$96,FIND(".",'NIDS DNS table'!$C$96)+1)+1)-FIND(".",'NIDS DNS table'!$C$96,FIND(".",'NIDS DNS table'!$C$96)+1)),MID('NIDS DNS table'!$C$96,FIND(".",'NIDS DNS table'!$C$96)+1,FIND(".",'NIDS DNS table'!$C$96,FIND(".",'NIDS DNS table'!$C$96)+1)-FIND(".",'NIDS DNS table'!$C$96)),LEFT('NIDS DNS table'!$C$96,FIND(".",'NIDS DNS table'!$C$96)),"in-addr.arpa. addRR ",RIGHT('NIDS DNS table'!$C$96,LEN('NIDS DNS table'!$C$96)-FIND(".",'NIDS DNS table'!$C$96,FIND(".",'NIDS DNS table'!$C$96,FIND(".",'NIDS DNS table'!$C$96)+1)+1))," PTR ",'NIDS DNS table'!$B$96,".")</f>
        <v>zone 225.89.10.in-addr.arpa. addRR 15 PTR gfs-MAIN-STPTC235.name.cisco.com.</v>
      </c>
    </row>
    <row r="66" ht="13.5">
      <c r="A66" s="93" t="str">
        <f>CONCATENATE("zone ",MID('NIDS DNS table'!$C$97,FIND(".",'NIDS DNS table'!$C$97,FIND(".",'NIDS DNS table'!$C$97)+1)+1,FIND(".",'NIDS DNS table'!$C$97,FIND(".",'NIDS DNS table'!$C$97,FIND(".",'NIDS DNS table'!$C$97)+1)+1)-FIND(".",'NIDS DNS table'!$C$97,FIND(".",'NIDS DNS table'!$C$97)+1)),MID('NIDS DNS table'!$C$97,FIND(".",'NIDS DNS table'!$C$97)+1,FIND(".",'NIDS DNS table'!$C$97,FIND(".",'NIDS DNS table'!$C$97)+1)-FIND(".",'NIDS DNS table'!$C$97)),LEFT('NIDS DNS table'!$C$97,FIND(".",'NIDS DNS table'!$C$97)),"in-addr.arpa. addRR ",RIGHT('NIDS DNS table'!$C$97,LEN('NIDS DNS table'!$C$97)-FIND(".",'NIDS DNS table'!$C$97,FIND(".",'NIDS DNS table'!$C$97,FIND(".",'NIDS DNS table'!$C$97)+1)+1))," PTR ",'NIDS DNS table'!$B$96,".")</f>
        <v>zone 226.89.10.in-addr.arpa. addRR 15 PTR gfs-MAIN-STPTC235.name.cisco.com.</v>
      </c>
    </row>
    <row r="67" ht="13.5">
      <c r="A67" s="93" t="str">
        <f>CONCATENATE("zone ",MID('NIDS DNS table'!$C$98,FIND(".",'NIDS DNS table'!$C$98,FIND(".",'NIDS DNS table'!$C$98)+1)+1,FIND(".",'NIDS DNS table'!$C$98,FIND(".",'NIDS DNS table'!$C$98,FIND(".",'NIDS DNS table'!$C$98)+1)+1)-FIND(".",'NIDS DNS table'!$C$98,FIND(".",'NIDS DNS table'!$C$98)+1)),MID('NIDS DNS table'!$C$98,FIND(".",'NIDS DNS table'!$C$98)+1,FIND(".",'NIDS DNS table'!$C$98,FIND(".",'NIDS DNS table'!$C$98)+1)-FIND(".",'NIDS DNS table'!$C$98)),LEFT('NIDS DNS table'!$C$98,FIND(".",'NIDS DNS table'!$C$98)),"in-addr.arpa. addRR ",RIGHT('NIDS DNS table'!$C$98,LEN('NIDS DNS table'!$C$98)-FIND(".",'NIDS DNS table'!$C$98,FIND(".",'NIDS DNS table'!$C$98,FIND(".",'NIDS DNS table'!$C$98)+1)+1))," PTR ",'NIDS DNS table'!$B$98,".")</f>
        <v>zone 223.89.10.in-addr.arpa. addRR 10 PTR crit-aMAIN-STEMS.name.cisco.com.</v>
      </c>
    </row>
    <row r="68" ht="13.5">
      <c r="A68" s="93" t="str">
        <f>CONCATENATE("zone ",MID('NIDS DNS table'!$C$99,FIND(".",'NIDS DNS table'!$C$99,FIND(".",'NIDS DNS table'!$C$99)+1)+1,FIND(".",'NIDS DNS table'!$C$99,FIND(".",'NIDS DNS table'!$C$99,FIND(".",'NIDS DNS table'!$C$99)+1)+1)-FIND(".",'NIDS DNS table'!$C$99,FIND(".",'NIDS DNS table'!$C$99)+1)),MID('NIDS DNS table'!$C$99,FIND(".",'NIDS DNS table'!$C$99)+1,FIND(".",'NIDS DNS table'!$C$99,FIND(".",'NIDS DNS table'!$C$99)+1)-FIND(".",'NIDS DNS table'!$C$99)),LEFT('NIDS DNS table'!$C$99,FIND(".",'NIDS DNS table'!$C$99)),"in-addr.arpa. addRR ",RIGHT('NIDS DNS table'!$C$99,LEN('NIDS DNS table'!$C$99)-FIND(".",'NIDS DNS table'!$C$99,FIND(".",'NIDS DNS table'!$C$99,FIND(".",'NIDS DNS table'!$C$99)+1)+1))," PTR ",'NIDS DNS table'!$B$98,".")</f>
        <v>zone 224.89.10.in-addr.arpa. addRR 10 PTR crit-aMAIN-STEMS.name.cisco.com.</v>
      </c>
    </row>
    <row r="69" ht="13.5">
      <c r="A69" s="93" t="str">
        <f>CONCATENATE("zone ",MID('NIDS DNS table'!$C$100,FIND(".",'NIDS DNS table'!$C$100,FIND(".",'NIDS DNS table'!$C$100)+1)+1,FIND(".",'NIDS DNS table'!$C$100,FIND(".",'NIDS DNS table'!$C$100,FIND(".",'NIDS DNS table'!$C$100)+1)+1)-FIND(".",'NIDS DNS table'!$C$100,FIND(".",'NIDS DNS table'!$C$100)+1)),MID('NIDS DNS table'!$C$100,FIND(".",'NIDS DNS table'!$C$100)+1,FIND(".",'NIDS DNS table'!$C$100,FIND(".",'NIDS DNS table'!$C$100)+1)-FIND(".",'NIDS DNS table'!$C$100)),LEFT('NIDS DNS table'!$C$100,FIND(".",'NIDS DNS table'!$C$100)),"in-addr.arpa. addRR ",RIGHT('NIDS DNS table'!$C$100,LEN('NIDS DNS table'!$C$100)-FIND(".",'NIDS DNS table'!$C$100,FIND(".",'NIDS DNS table'!$C$100,FIND(".",'NIDS DNS table'!$C$100)+1)+1))," PTR ",'NIDS DNS table'!$B$100,".")</f>
        <v>zone 223.89.10.in-addr.arpa. addRR 11 PTR crit-bMAIN-STEMS.name.cisco.com.</v>
      </c>
    </row>
    <row r="70" ht="13.5">
      <c r="A70" s="93" t="str">
        <f>CONCATENATE("zone ",MID('NIDS DNS table'!$C$101,FIND(".",'NIDS DNS table'!$C$101,FIND(".",'NIDS DNS table'!$C$101)+1)+1,FIND(".",'NIDS DNS table'!$C$101,FIND(".",'NIDS DNS table'!$C$101,FIND(".",'NIDS DNS table'!$C$101)+1)+1)-FIND(".",'NIDS DNS table'!$C$101,FIND(".",'NIDS DNS table'!$C$101)+1)),MID('NIDS DNS table'!$C$101,FIND(".",'NIDS DNS table'!$C$101)+1,FIND(".",'NIDS DNS table'!$C$101,FIND(".",'NIDS DNS table'!$C$101)+1)-FIND(".",'NIDS DNS table'!$C$101)),LEFT('NIDS DNS table'!$C$101,FIND(".",'NIDS DNS table'!$C$101)),"in-addr.arpa. addRR ",RIGHT('NIDS DNS table'!$C$101,LEN('NIDS DNS table'!$C$101)-FIND(".",'NIDS DNS table'!$C$101,FIND(".",'NIDS DNS table'!$C$101,FIND(".",'NIDS DNS table'!$C$101)+1)+1))," PTR ",'NIDS DNS table'!$B$100,".")</f>
        <v>zone 224.89.10.in-addr.arpa. addRR 11 PTR crit-bMAIN-STEMS.name.cisco.com.</v>
      </c>
    </row>
    <row r="71" ht="13.5">
      <c r="A71" s="93"/>
    </row>
    <row r="72" ht="13.5">
      <c r="A72" s="93"/>
    </row>
    <row r="73" ht="13.5">
      <c r="A73" s="93" t="s">
        <v>617</v>
      </c>
    </row>
    <row r="74" ht="13.5">
      <c r="A74" s="93" t="s">
        <v>622</v>
      </c>
    </row>
    <row r="75" ht="13.5">
      <c r="A75" s="93" t="s">
        <v>617</v>
      </c>
    </row>
    <row r="76" ht="13.5">
      <c r="A76" s="93" t="str">
        <f>CONCATENATE("zone ",MID('NIDS DNS table'!$C$20,FIND(".",'NIDS DNS table'!$C$20,FIND(".",'NIDS DNS table'!$C$20)+1)+1,FIND(".",'NIDS DNS table'!$C$20,FIND(".",'NIDS DNS table'!$C$20,FIND(".",'NIDS DNS table'!$C$20)+1)+1)-FIND(".",'NIDS DNS table'!$C$20,FIND(".",'NIDS DNS table'!$C$20)+1)),MID('NIDS DNS table'!$C$20,FIND(".",'NIDS DNS table'!$C$20)+1,FIND(".",'NIDS DNS table'!$C$20,FIND(".",'NIDS DNS table'!$C$20)+1)-FIND(".",'NIDS DNS table'!$C$20)),LEFT('NIDS DNS table'!$C$20,FIND(".",'NIDS DNS table'!$C$20)),"in-addr.arpa. addRR ",RIGHT('NIDS DNS table'!$C$20,LEN('NIDS DNS table'!$C$20)-FIND(".",'NIDS DNS table'!$C$20,FIND(".",'NIDS DNS table'!$C$20,FIND(".",'NIDS DNS table'!$C$20)+1)+1))," PTR ",'NIDS DNS table'!$B$20,".")</f>
        <v>zone 120.10.10.in-addr.arpa. addRR 12 PTR red-aMAIN-STCA.name.cisco.com.</v>
      </c>
    </row>
    <row r="77" ht="13.5">
      <c r="A77" s="93" t="str">
        <f>CONCATENATE("zone ",MID('NIDS DNS table'!$C$21,FIND(".",'NIDS DNS table'!$C$21,FIND(".",'NIDS DNS table'!$C$21)+1)+1,FIND(".",'NIDS DNS table'!$C$21,FIND(".",'NIDS DNS table'!$C$21,FIND(".",'NIDS DNS table'!$C$21)+1)+1)-FIND(".",'NIDS DNS table'!$C$21,FIND(".",'NIDS DNS table'!$C$21)+1)),MID('NIDS DNS table'!$C$21,FIND(".",'NIDS DNS table'!$C$21)+1,FIND(".",'NIDS DNS table'!$C$21,FIND(".",'NIDS DNS table'!$C$21)+1)-FIND(".",'NIDS DNS table'!$C$21)),LEFT('NIDS DNS table'!$C$21,FIND(".",'NIDS DNS table'!$C$21)),"in-addr.arpa. addRR ",RIGHT('NIDS DNS table'!$C$21,LEN('NIDS DNS table'!$C$21)-FIND(".",'NIDS DNS table'!$C$21,FIND(".",'NIDS DNS table'!$C$21,FIND(".",'NIDS DNS table'!$C$21)+1)+1))," PTR ",'NIDS DNS table'!$B$20,".")</f>
        <v>zone 121.10.10.in-addr.arpa. addRR 12 PTR red-aMAIN-STCA.name.cisco.com.</v>
      </c>
    </row>
    <row r="78" ht="13.5">
      <c r="A78" s="93" t="str">
        <f>CONCATENATE("zone ",MID('NIDS DNS table'!$C$22,FIND(".",'NIDS DNS table'!$C$22,FIND(".",'NIDS DNS table'!$C$22)+1)+1,FIND(".",'NIDS DNS table'!$C$22,FIND(".",'NIDS DNS table'!$C$22,FIND(".",'NIDS DNS table'!$C$22)+1)+1)-FIND(".",'NIDS DNS table'!$C$22,FIND(".",'NIDS DNS table'!$C$22)+1)),MID('NIDS DNS table'!$C$22,FIND(".",'NIDS DNS table'!$C$22)+1,FIND(".",'NIDS DNS table'!$C$22,FIND(".",'NIDS DNS table'!$C$22)+1)-FIND(".",'NIDS DNS table'!$C$22)),LEFT('NIDS DNS table'!$C$22,FIND(".",'NIDS DNS table'!$C$22)),"in-addr.arpa. addRR ",RIGHT('NIDS DNS table'!$C$22,LEN('NIDS DNS table'!$C$22)-FIND(".",'NIDS DNS table'!$C$22,FIND(".",'NIDS DNS table'!$C$22,FIND(".",'NIDS DNS table'!$C$22)+1)+1))," PTR ",'NIDS DNS table'!$B$22,".")</f>
        <v>zone 120.10.10.in-addr.arpa. addRR 13 PTR red-bMAIN-STCA.name.cisco.com.</v>
      </c>
    </row>
    <row r="79" ht="13.5">
      <c r="A79" s="93" t="str">
        <f>CONCATENATE("zone ",MID('NIDS DNS table'!$C$23,FIND(".",'NIDS DNS table'!$C$23,FIND(".",'NIDS DNS table'!$C$23)+1)+1,FIND(".",'NIDS DNS table'!$C$23,FIND(".",'NIDS DNS table'!$C$23,FIND(".",'NIDS DNS table'!$C$23)+1)+1)-FIND(".",'NIDS DNS table'!$C$23,FIND(".",'NIDS DNS table'!$C$23)+1)),MID('NIDS DNS table'!$C$23,FIND(".",'NIDS DNS table'!$C$23)+1,FIND(".",'NIDS DNS table'!$C$23,FIND(".",'NIDS DNS table'!$C$23)+1)-FIND(".",'NIDS DNS table'!$C$23)),LEFT('NIDS DNS table'!$C$23,FIND(".",'NIDS DNS table'!$C$23)),"in-addr.arpa. addRR ",RIGHT('NIDS DNS table'!$C$23,LEN('NIDS DNS table'!$C$23)-FIND(".",'NIDS DNS table'!$C$23,FIND(".",'NIDS DNS table'!$C$23,FIND(".",'NIDS DNS table'!$C$23)+1)+1))," PTR ",'NIDS DNS table'!$B$22,".")</f>
        <v>zone 121.10.10.in-addr.arpa. addRR 13 PTR red-bMAIN-STCA.name.cisco.com.</v>
      </c>
    </row>
    <row r="80" ht="13.5">
      <c r="A80" s="93" t="str">
        <f>CONCATENATE("zone ",MID('NIDS DNS table'!$C$24,FIND(".",'NIDS DNS table'!$C$24,FIND(".",'NIDS DNS table'!$C$24)+1)+1,FIND(".",'NIDS DNS table'!$C$24,FIND(".",'NIDS DNS table'!$C$24,FIND(".",'NIDS DNS table'!$C$24)+1)+1)-FIND(".",'NIDS DNS table'!$C$24,FIND(".",'NIDS DNS table'!$C$24)+1)),MID('NIDS DNS table'!$C$24,FIND(".",'NIDS DNS table'!$C$24)+1,FIND(".",'NIDS DNS table'!$C$24,FIND(".",'NIDS DNS table'!$C$24)+1)-FIND(".",'NIDS DNS table'!$C$24)),LEFT('NIDS DNS table'!$C$24,FIND(".",'NIDS DNS table'!$C$24)),"in-addr.arpa. addRR ",RIGHT('NIDS DNS table'!$C$24,LEN('NIDS DNS table'!$C$24)-FIND(".",'NIDS DNS table'!$C$24,FIND(".",'NIDS DNS table'!$C$24,FIND(".",'NIDS DNS table'!$C$24)+1)+1))," PTR ",'NIDS DNS table'!$B$24,".")</f>
        <v>zone 120.10.10.in-addr.arpa. addRR 12 PTR red-aMAIN-STAIN.name.cisco.com.</v>
      </c>
    </row>
    <row r="81" ht="13.5">
      <c r="A81" s="93" t="str">
        <f>CONCATENATE("zone ",MID('NIDS DNS table'!$C$25,FIND(".",'NIDS DNS table'!$C$25,FIND(".",'NIDS DNS table'!$C$25)+1)+1,FIND(".",'NIDS DNS table'!$C$25,FIND(".",'NIDS DNS table'!$C$25,FIND(".",'NIDS DNS table'!$C$25)+1)+1)-FIND(".",'NIDS DNS table'!$C$25,FIND(".",'NIDS DNS table'!$C$25)+1)),MID('NIDS DNS table'!$C$25,FIND(".",'NIDS DNS table'!$C$25)+1,FIND(".",'NIDS DNS table'!$C$25,FIND(".",'NIDS DNS table'!$C$25)+1)-FIND(".",'NIDS DNS table'!$C$25)),LEFT('NIDS DNS table'!$C$25,FIND(".",'NIDS DNS table'!$C$25)),"in-addr.arpa. addRR ",RIGHT('NIDS DNS table'!$C$25,LEN('NIDS DNS table'!$C$25)-FIND(".",'NIDS DNS table'!$C$25,FIND(".",'NIDS DNS table'!$C$25,FIND(".",'NIDS DNS table'!$C$25)+1)+1))," PTR ",'NIDS DNS table'!$B$24,".")</f>
        <v>zone 121.10.10.in-addr.arpa. addRR 12 PTR red-aMAIN-STAIN.name.cisco.com.</v>
      </c>
    </row>
    <row r="82" ht="13.5">
      <c r="A82" s="93" t="str">
        <f>CONCATENATE("zone ",MID('NIDS DNS table'!$C$26,FIND(".",'NIDS DNS table'!$C$26,FIND(".",'NIDS DNS table'!$C$26)+1)+1,FIND(".",'NIDS DNS table'!$C$26,FIND(".",'NIDS DNS table'!$C$26,FIND(".",'NIDS DNS table'!$C$26)+1)+1)-FIND(".",'NIDS DNS table'!$C$26,FIND(".",'NIDS DNS table'!$C$26)+1)),MID('NIDS DNS table'!$C$26,FIND(".",'NIDS DNS table'!$C$26)+1,FIND(".",'NIDS DNS table'!$C$26,FIND(".",'NIDS DNS table'!$C$26)+1)-FIND(".",'NIDS DNS table'!$C$26)),LEFT('NIDS DNS table'!$C$26,FIND(".",'NIDS DNS table'!$C$26)),"in-addr.arpa. addRR ",RIGHT('NIDS DNS table'!$C$26,LEN('NIDS DNS table'!$C$26)-FIND(".",'NIDS DNS table'!$C$26,FIND(".",'NIDS DNS table'!$C$26,FIND(".",'NIDS DNS table'!$C$26)+1)+1))," PTR ",'NIDS DNS table'!$B$26,".")</f>
        <v>zone 120.10.10.in-addr.arpa. addRR 13 PTR red-bMAIN-STAIN.name.cisco.com.</v>
      </c>
    </row>
    <row r="83" ht="13.5">
      <c r="A83" s="93" t="str">
        <f>CONCATENATE("zone ",MID('NIDS DNS table'!$C$27,FIND(".",'NIDS DNS table'!$C$27,FIND(".",'NIDS DNS table'!$C$27)+1)+1,FIND(".",'NIDS DNS table'!$C$27,FIND(".",'NIDS DNS table'!$C$27,FIND(".",'NIDS DNS table'!$C$27)+1)+1)-FIND(".",'NIDS DNS table'!$C$27,FIND(".",'NIDS DNS table'!$C$27)+1)),MID('NIDS DNS table'!$C$27,FIND(".",'NIDS DNS table'!$C$27)+1,FIND(".",'NIDS DNS table'!$C$27,FIND(".",'NIDS DNS table'!$C$27)+1)-FIND(".",'NIDS DNS table'!$C$27)),LEFT('NIDS DNS table'!$C$27,FIND(".",'NIDS DNS table'!$C$27)),"in-addr.arpa. addRR ",RIGHT('NIDS DNS table'!$C$27,LEN('NIDS DNS table'!$C$27)-FIND(".",'NIDS DNS table'!$C$27,FIND(".",'NIDS DNS table'!$C$27,FIND(".",'NIDS DNS table'!$C$27)+1)+1))," PTR ",'NIDS DNS table'!$B$26,".")</f>
        <v>zone 121.10.10.in-addr.arpa. addRR 13 PTR red-bMAIN-STAIN.name.cisco.com.</v>
      </c>
    </row>
    <row r="84" ht="13.5">
      <c r="A84" s="93" t="str">
        <f>CONCATENATE("zone ",MID('NIDS DNS table'!$C$28,FIND(".",'NIDS DNS table'!$C$28,FIND(".",'NIDS DNS table'!$C$28)+1)+1,FIND(".",'NIDS DNS table'!$C$28,FIND(".",'NIDS DNS table'!$C$28,FIND(".",'NIDS DNS table'!$C$28)+1)+1)-FIND(".",'NIDS DNS table'!$C$28,FIND(".",'NIDS DNS table'!$C$28)+1)),MID('NIDS DNS table'!$C$28,FIND(".",'NIDS DNS table'!$C$28)+1,FIND(".",'NIDS DNS table'!$C$28,FIND(".",'NIDS DNS table'!$C$28)+1)-FIND(".",'NIDS DNS table'!$C$28)),LEFT('NIDS DNS table'!$C$28,FIND(".",'NIDS DNS table'!$C$28)),"in-addr.arpa. addRR ",RIGHT('NIDS DNS table'!$C$28,LEN('NIDS DNS table'!$C$28)-FIND(".",'NIDS DNS table'!$C$28,FIND(".",'NIDS DNS table'!$C$28,FIND(".",'NIDS DNS table'!$C$28)+1)+1))," PTR ",'NIDS DNS table'!$B$28,".")</f>
        <v>zone 120.10.10.in-addr.arpa. addRR 12 PTR red-aMAIN-STPTC.name.cisco.com.</v>
      </c>
    </row>
    <row r="85" ht="13.5">
      <c r="A85" s="93" t="str">
        <f>CONCATENATE("zone ",MID('NIDS DNS table'!$C$29,FIND(".",'NIDS DNS table'!$C$29,FIND(".",'NIDS DNS table'!$C$29)+1)+1,FIND(".",'NIDS DNS table'!$C$29,FIND(".",'NIDS DNS table'!$C$29,FIND(".",'NIDS DNS table'!$C$29)+1)+1)-FIND(".",'NIDS DNS table'!$C$29,FIND(".",'NIDS DNS table'!$C$29)+1)),MID('NIDS DNS table'!$C$29,FIND(".",'NIDS DNS table'!$C$29)+1,FIND(".",'NIDS DNS table'!$C$29,FIND(".",'NIDS DNS table'!$C$29)+1)-FIND(".",'NIDS DNS table'!$C$29)),LEFT('NIDS DNS table'!$C$29,FIND(".",'NIDS DNS table'!$C$29)),"in-addr.arpa. addRR ",RIGHT('NIDS DNS table'!$C$29,LEN('NIDS DNS table'!$C$29)-FIND(".",'NIDS DNS table'!$C$29,FIND(".",'NIDS DNS table'!$C$29,FIND(".",'NIDS DNS table'!$C$29)+1)+1))," PTR ",'NIDS DNS table'!$B$28,".")</f>
        <v>zone 121.10.10.in-addr.arpa. addRR 12 PTR red-aMAIN-STPTC.name.cisco.com.</v>
      </c>
    </row>
    <row r="86" ht="13.5">
      <c r="A86" s="93" t="str">
        <f>CONCATENATE("zone ",MID('NIDS DNS table'!$C$30,FIND(".",'NIDS DNS table'!$C$30,FIND(".",'NIDS DNS table'!$C$30)+1)+1,FIND(".",'NIDS DNS table'!$C$30,FIND(".",'NIDS DNS table'!$C$30,FIND(".",'NIDS DNS table'!$C$30)+1)+1)-FIND(".",'NIDS DNS table'!$C$30,FIND(".",'NIDS DNS table'!$C$30)+1)),MID('NIDS DNS table'!$C$30,FIND(".",'NIDS DNS table'!$C$30)+1,FIND(".",'NIDS DNS table'!$C$30,FIND(".",'NIDS DNS table'!$C$30)+1)-FIND(".",'NIDS DNS table'!$C$30)),LEFT('NIDS DNS table'!$C$30,FIND(".",'NIDS DNS table'!$C$30)),"in-addr.arpa. addRR ",RIGHT('NIDS DNS table'!$C$30,LEN('NIDS DNS table'!$C$30)-FIND(".",'NIDS DNS table'!$C$30,FIND(".",'NIDS DNS table'!$C$30,FIND(".",'NIDS DNS table'!$C$30)+1)+1))," PTR ",'NIDS DNS table'!$B$30,".")</f>
        <v>zone 120.10.10.in-addr.arpa. addRR 13 PTR red-bMAIN-STPTC.name.cisco.com.</v>
      </c>
    </row>
    <row r="87" ht="13.5">
      <c r="A87" s="93" t="str">
        <f>CONCATENATE("zone ",MID('NIDS DNS table'!$C$31,FIND(".",'NIDS DNS table'!$C$31,FIND(".",'NIDS DNS table'!$C$31)+1)+1,FIND(".",'NIDS DNS table'!$C$31,FIND(".",'NIDS DNS table'!$C$31,FIND(".",'NIDS DNS table'!$C$31)+1)+1)-FIND(".",'NIDS DNS table'!$C$31,FIND(".",'NIDS DNS table'!$C$31)+1)),MID('NIDS DNS table'!$C$31,FIND(".",'NIDS DNS table'!$C$31)+1,FIND(".",'NIDS DNS table'!$C$31,FIND(".",'NIDS DNS table'!$C$31)+1)-FIND(".",'NIDS DNS table'!$C$31)),LEFT('NIDS DNS table'!$C$31,FIND(".",'NIDS DNS table'!$C$31)),"in-addr.arpa. addRR ",RIGHT('NIDS DNS table'!$C$31,LEN('NIDS DNS table'!$C$31)-FIND(".",'NIDS DNS table'!$C$31,FIND(".",'NIDS DNS table'!$C$31,FIND(".",'NIDS DNS table'!$C$31)+1)+1))," PTR ",'NIDS DNS table'!$B$30,".")</f>
        <v>zone 121.10.10.in-addr.arpa. addRR 13 PTR red-bMAIN-STPTC.name.cisco.com.</v>
      </c>
    </row>
    <row r="88" ht="13.5">
      <c r="A88" s="93" t="str">
        <f>CONCATENATE("zone ",MID('NIDS DNS table'!$C$32,FIND(".",'NIDS DNS table'!$C$32,FIND(".",'NIDS DNS table'!$C$32)+1)+1,FIND(".",'NIDS DNS table'!$C$32,FIND(".",'NIDS DNS table'!$C$32,FIND(".",'NIDS DNS table'!$C$32)+1)+1)-FIND(".",'NIDS DNS table'!$C$32,FIND(".",'NIDS DNS table'!$C$32)+1)),MID('NIDS DNS table'!$C$32,FIND(".",'NIDS DNS table'!$C$32)+1,FIND(".",'NIDS DNS table'!$C$32,FIND(".",'NIDS DNS table'!$C$32)+1)-FIND(".",'NIDS DNS table'!$C$32)),LEFT('NIDS DNS table'!$C$32,FIND(".",'NIDS DNS table'!$C$32)),"in-addr.arpa. addRR ",RIGHT('NIDS DNS table'!$C$32,LEN('NIDS DNS table'!$C$32)-FIND(".",'NIDS DNS table'!$C$32,FIND(".",'NIDS DNS table'!$C$32,FIND(".",'NIDS DNS table'!$C$32)+1)+1))," PTR ",'NIDS DNS table'!$B$32,".")</f>
        <v>zone 122.10.10.in-addr.arpa. addRR 10 PTR red-aMAIN-STEMS.name.cisco.com.</v>
      </c>
    </row>
    <row r="89" ht="13.5">
      <c r="A89" s="93" t="str">
        <f>CONCATENATE("zone ",MID('NIDS DNS table'!$C$33,FIND(".",'NIDS DNS table'!$C$33,FIND(".",'NIDS DNS table'!$C$33)+1)+1,FIND(".",'NIDS DNS table'!$C$33,FIND(".",'NIDS DNS table'!$C$33,FIND(".",'NIDS DNS table'!$C$33)+1)+1)-FIND(".",'NIDS DNS table'!$C$33,FIND(".",'NIDS DNS table'!$C$33)+1)),MID('NIDS DNS table'!$C$33,FIND(".",'NIDS DNS table'!$C$33)+1,FIND(".",'NIDS DNS table'!$C$33,FIND(".",'NIDS DNS table'!$C$33)+1)-FIND(".",'NIDS DNS table'!$C$33)),LEFT('NIDS DNS table'!$C$33,FIND(".",'NIDS DNS table'!$C$33)),"in-addr.arpa. addRR ",RIGHT('NIDS DNS table'!$C$33,LEN('NIDS DNS table'!$C$33)-FIND(".",'NIDS DNS table'!$C$33,FIND(".",'NIDS DNS table'!$C$33,FIND(".",'NIDS DNS table'!$C$33)+1)+1))," PTR ",'NIDS DNS table'!$B$32,".")</f>
        <v>zone 123.10.10.in-addr.arpa. addRR 10 PTR red-aMAIN-STEMS.name.cisco.com.</v>
      </c>
    </row>
    <row r="90" ht="13.5">
      <c r="A90" s="93" t="str">
        <f>CONCATENATE("zone ",MID('NIDS DNS table'!$C$34,FIND(".",'NIDS DNS table'!$C$34,FIND(".",'NIDS DNS table'!$C$34)+1)+1,FIND(".",'NIDS DNS table'!$C$34,FIND(".",'NIDS DNS table'!$C$34,FIND(".",'NIDS DNS table'!$C$34)+1)+1)-FIND(".",'NIDS DNS table'!$C$34,FIND(".",'NIDS DNS table'!$C$34)+1)),MID('NIDS DNS table'!$C$34,FIND(".",'NIDS DNS table'!$C$34)+1,FIND(".",'NIDS DNS table'!$C$34,FIND(".",'NIDS DNS table'!$C$34)+1)-FIND(".",'NIDS DNS table'!$C$34)),LEFT('NIDS DNS table'!$C$34,FIND(".",'NIDS DNS table'!$C$34)),"in-addr.arpa. addRR ",RIGHT('NIDS DNS table'!$C$34,LEN('NIDS DNS table'!$C$34)-FIND(".",'NIDS DNS table'!$C$34,FIND(".",'NIDS DNS table'!$C$34,FIND(".",'NIDS DNS table'!$C$34)+1)+1))," PTR ",'NIDS DNS table'!$B$34,".")</f>
        <v>zone 122.10.10.in-addr.arpa. addRR 11 PTR red-bMAIN-STEMS.name.cisco.com.</v>
      </c>
    </row>
    <row r="91" ht="13.5">
      <c r="A91" s="93" t="str">
        <f>CONCATENATE("zone ",MID('NIDS DNS table'!$C$35,FIND(".",'NIDS DNS table'!$C$35,FIND(".",'NIDS DNS table'!$C$35)+1)+1,FIND(".",'NIDS DNS table'!$C$35,FIND(".",'NIDS DNS table'!$C$35,FIND(".",'NIDS DNS table'!$C$35)+1)+1)-FIND(".",'NIDS DNS table'!$C$35,FIND(".",'NIDS DNS table'!$C$35)+1)),MID('NIDS DNS table'!$C$35,FIND(".",'NIDS DNS table'!$C$35)+1,FIND(".",'NIDS DNS table'!$C$35,FIND(".",'NIDS DNS table'!$C$35)+1)-FIND(".",'NIDS DNS table'!$C$35)),LEFT('NIDS DNS table'!$C$35,FIND(".",'NIDS DNS table'!$C$35)),"in-addr.arpa. addRR ",RIGHT('NIDS DNS table'!$C$35,LEN('NIDS DNS table'!$C$35)-FIND(".",'NIDS DNS table'!$C$35,FIND(".",'NIDS DNS table'!$C$35,FIND(".",'NIDS DNS table'!$C$35)+1)+1))," PTR ",'NIDS DNS table'!$B$34,".")</f>
        <v>zone 123.10.10.in-addr.arpa. addRR 11 PTR red-bMAIN-STEMS.name.cisco.com.</v>
      </c>
    </row>
    <row r="92" ht="13.5">
      <c r="A92" s="93" t="str">
        <f>CONCATENATE("zone ",MID('NIDS DNS table'!$C$36,FIND(".",'NIDS DNS table'!$C$36,FIND(".",'NIDS DNS table'!$C$36)+1)+1,FIND(".",'NIDS DNS table'!$C$36,FIND(".",'NIDS DNS table'!$C$36,FIND(".",'NIDS DNS table'!$C$36)+1)+1)-FIND(".",'NIDS DNS table'!$C$36,FIND(".",'NIDS DNS table'!$C$36)+1)),MID('NIDS DNS table'!$C$36,FIND(".",'NIDS DNS table'!$C$36)+1,FIND(".",'NIDS DNS table'!$C$36,FIND(".",'NIDS DNS table'!$C$36)+1)-FIND(".",'NIDS DNS table'!$C$36)),LEFT('NIDS DNS table'!$C$36,FIND(".",'NIDS DNS table'!$C$36)),"in-addr.arpa. addRR ",RIGHT('NIDS DNS table'!$C$36,LEN('NIDS DNS table'!$C$36)-FIND(".",'NIDS DNS table'!$C$36,FIND(".",'NIDS DNS table'!$C$36,FIND(".",'NIDS DNS table'!$C$36)+1)+1))," PTR ",'NIDS DNS table'!$B$36,".")</f>
        <v>zone 122.10.10.in-addr.arpa. addRR 10 PTR blg-aMAIN-STEMS.name.cisco.com.</v>
      </c>
    </row>
    <row r="93" ht="13.5">
      <c r="A93" s="93" t="str">
        <f>CONCATENATE("zone ",MID('NIDS DNS table'!$C$37,FIND(".",'NIDS DNS table'!$C$37,FIND(".",'NIDS DNS table'!$C$37)+1)+1,FIND(".",'NIDS DNS table'!$C$37,FIND(".",'NIDS DNS table'!$C$37,FIND(".",'NIDS DNS table'!$C$37)+1)+1)-FIND(".",'NIDS DNS table'!$C$37,FIND(".",'NIDS DNS table'!$C$37)+1)),MID('NIDS DNS table'!$C$37,FIND(".",'NIDS DNS table'!$C$37)+1,FIND(".",'NIDS DNS table'!$C$37,FIND(".",'NIDS DNS table'!$C$37)+1)-FIND(".",'NIDS DNS table'!$C$37)),LEFT('NIDS DNS table'!$C$37,FIND(".",'NIDS DNS table'!$C$37)),"in-addr.arpa. addRR ",RIGHT('NIDS DNS table'!$C$37,LEN('NIDS DNS table'!$C$37)-FIND(".",'NIDS DNS table'!$C$37,FIND(".",'NIDS DNS table'!$C$37,FIND(".",'NIDS DNS table'!$C$37)+1)+1))," PTR ",'NIDS DNS table'!$B$36,".")</f>
        <v>zone 123.10.10.in-addr.arpa. addRR 10 PTR blg-aMAIN-STEMS.name.cisco.com.</v>
      </c>
    </row>
    <row r="94" ht="13.5">
      <c r="A94" s="93" t="str">
        <f>CONCATENATE("zone ",MID('NIDS DNS table'!$C$38,FIND(".",'NIDS DNS table'!$C$38,FIND(".",'NIDS DNS table'!$C$38)+1)+1,FIND(".",'NIDS DNS table'!$C$38,FIND(".",'NIDS DNS table'!$C$38,FIND(".",'NIDS DNS table'!$C$38)+1)+1)-FIND(".",'NIDS DNS table'!$C$38,FIND(".",'NIDS DNS table'!$C$38)+1)),MID('NIDS DNS table'!$C$38,FIND(".",'NIDS DNS table'!$C$38)+1,FIND(".",'NIDS DNS table'!$C$38,FIND(".",'NIDS DNS table'!$C$38)+1)-FIND(".",'NIDS DNS table'!$C$38)),LEFT('NIDS DNS table'!$C$38,FIND(".",'NIDS DNS table'!$C$38)),"in-addr.arpa. addRR ",RIGHT('NIDS DNS table'!$C$38,LEN('NIDS DNS table'!$C$38)-FIND(".",'NIDS DNS table'!$C$38,FIND(".",'NIDS DNS table'!$C$38,FIND(".",'NIDS DNS table'!$C$38)+1)+1))," PTR ",'NIDS DNS table'!$B$38,".")</f>
        <v>zone 122.10.10.in-addr.arpa. addRR 11 PTR blg-bMAIN-STEMS.name.cisco.com.</v>
      </c>
    </row>
    <row r="95" ht="13.5">
      <c r="A95" s="93" t="str">
        <f>CONCATENATE("zone ",MID('NIDS DNS table'!$C$39,FIND(".",'NIDS DNS table'!$C$39,FIND(".",'NIDS DNS table'!$C$39)+1)+1,FIND(".",'NIDS DNS table'!$C$39,FIND(".",'NIDS DNS table'!$C$39,FIND(".",'NIDS DNS table'!$C$39)+1)+1)-FIND(".",'NIDS DNS table'!$C$39,FIND(".",'NIDS DNS table'!$C$39)+1)),MID('NIDS DNS table'!$C$39,FIND(".",'NIDS DNS table'!$C$39)+1,FIND(".",'NIDS DNS table'!$C$39,FIND(".",'NIDS DNS table'!$C$39)+1)-FIND(".",'NIDS DNS table'!$C$39)),LEFT('NIDS DNS table'!$C$39,FIND(".",'NIDS DNS table'!$C$39)),"in-addr.arpa. addRR ",RIGHT('NIDS DNS table'!$C$39,LEN('NIDS DNS table'!$C$39)-FIND(".",'NIDS DNS table'!$C$39,FIND(".",'NIDS DNS table'!$C$39,FIND(".",'NIDS DNS table'!$C$39)+1)+1))," PTR ",'NIDS DNS table'!$B$38,".")</f>
        <v>zone 123.10.10.in-addr.arpa. addRR 11 PTR blg-bMAIN-STEMS.name.cisco.com.</v>
      </c>
    </row>
    <row r="96" ht="13.5">
      <c r="A96" s="93" t="str">
        <f>CONCATENATE("zone ",MID('NIDS DNS table'!$C$40,FIND(".",'NIDS DNS table'!$C$40,FIND(".",'NIDS DNS table'!$C$40)+1)+1,FIND(".",'NIDS DNS table'!$C$40,FIND(".",'NIDS DNS table'!$C$40,FIND(".",'NIDS DNS table'!$C$40)+1)+1)-FIND(".",'NIDS DNS table'!$C$40,FIND(".",'NIDS DNS table'!$C$40)+1)),MID('NIDS DNS table'!$C$40,FIND(".",'NIDS DNS table'!$C$40)+1,FIND(".",'NIDS DNS table'!$C$40,FIND(".",'NIDS DNS table'!$C$40)+1)-FIND(".",'NIDS DNS table'!$C$40)),LEFT('NIDS DNS table'!$C$40,FIND(".",'NIDS DNS table'!$C$40)),"in-addr.arpa. addRR ",RIGHT('NIDS DNS table'!$C$40,LEN('NIDS DNS table'!$C$40)-FIND(".",'NIDS DNS table'!$C$40,FIND(".",'NIDS DNS table'!$C$40,FIND(".",'NIDS DNS table'!$C$40)+1)+1))," PTR ",'NIDS DNS table'!$B$40,".")</f>
        <v>zone 122.10.10.in-addr.arpa. addRR 12 PTR blg-aMAIN-STCA.name.cisco.com.</v>
      </c>
    </row>
    <row r="97" ht="13.5">
      <c r="A97" s="93" t="str">
        <f>CONCATENATE("zone ",MID('NIDS DNS table'!$C$41,FIND(".",'NIDS DNS table'!$C$41,FIND(".",'NIDS DNS table'!$C$41)+1)+1,FIND(".",'NIDS DNS table'!$C$41,FIND(".",'NIDS DNS table'!$C$41,FIND(".",'NIDS DNS table'!$C$41)+1)+1)-FIND(".",'NIDS DNS table'!$C$41,FIND(".",'NIDS DNS table'!$C$41)+1)),MID('NIDS DNS table'!$C$41,FIND(".",'NIDS DNS table'!$C$41)+1,FIND(".",'NIDS DNS table'!$C$41,FIND(".",'NIDS DNS table'!$C$41)+1)-FIND(".",'NIDS DNS table'!$C$41)),LEFT('NIDS DNS table'!$C$41,FIND(".",'NIDS DNS table'!$C$41)),"in-addr.arpa. addRR ",RIGHT('NIDS DNS table'!$C$41,LEN('NIDS DNS table'!$C$41)-FIND(".",'NIDS DNS table'!$C$41,FIND(".",'NIDS DNS table'!$C$41,FIND(".",'NIDS DNS table'!$C$41)+1)+1))," PTR ",'NIDS DNS table'!$B$40,".")</f>
        <v>zone 123.10.10.in-addr.arpa. addRR 12 PTR blg-aMAIN-STCA.name.cisco.com.</v>
      </c>
    </row>
    <row r="98" ht="13.5">
      <c r="A98" s="93" t="str">
        <f>CONCATENATE("zone ",MID('NIDS DNS table'!$C$42,FIND(".",'NIDS DNS table'!$C$42,FIND(".",'NIDS DNS table'!$C$42)+1)+1,FIND(".",'NIDS DNS table'!$C$42,FIND(".",'NIDS DNS table'!$C$42,FIND(".",'NIDS DNS table'!$C$42)+1)+1)-FIND(".",'NIDS DNS table'!$C$42,FIND(".",'NIDS DNS table'!$C$42)+1)),MID('NIDS DNS table'!$C$42,FIND(".",'NIDS DNS table'!$C$42)+1,FIND(".",'NIDS DNS table'!$C$42,FIND(".",'NIDS DNS table'!$C$42)+1)-FIND(".",'NIDS DNS table'!$C$42)),LEFT('NIDS DNS table'!$C$42,FIND(".",'NIDS DNS table'!$C$42)),"in-addr.arpa. addRR ",RIGHT('NIDS DNS table'!$C$42,LEN('NIDS DNS table'!$C$42)-FIND(".",'NIDS DNS table'!$C$42,FIND(".",'NIDS DNS table'!$C$42,FIND(".",'NIDS DNS table'!$C$42)+1)+1))," PTR ",'NIDS DNS table'!$B$42,".")</f>
        <v>zone 122.10.10.in-addr.arpa. addRR 13 PTR blg-bMAIN-STCA.name.cisco.com.</v>
      </c>
    </row>
    <row r="99" ht="13.5">
      <c r="A99" s="93" t="str">
        <f>CONCATENATE("zone ",MID('NIDS DNS table'!$C$43,FIND(".",'NIDS DNS table'!$C$43,FIND(".",'NIDS DNS table'!$C$43)+1)+1,FIND(".",'NIDS DNS table'!$C$43,FIND(".",'NIDS DNS table'!$C$43,FIND(".",'NIDS DNS table'!$C$43)+1)+1)-FIND(".",'NIDS DNS table'!$C$43,FIND(".",'NIDS DNS table'!$C$43)+1)),MID('NIDS DNS table'!$C$43,FIND(".",'NIDS DNS table'!$C$43)+1,FIND(".",'NIDS DNS table'!$C$43,FIND(".",'NIDS DNS table'!$C$43)+1)-FIND(".",'NIDS DNS table'!$C$43)),LEFT('NIDS DNS table'!$C$43,FIND(".",'NIDS DNS table'!$C$43)),"in-addr.arpa. addRR ",RIGHT('NIDS DNS table'!$C$43,LEN('NIDS DNS table'!$C$43)-FIND(".",'NIDS DNS table'!$C$43,FIND(".",'NIDS DNS table'!$C$43,FIND(".",'NIDS DNS table'!$C$43)+1)+1))," PTR ",'NIDS DNS table'!$B$42,".")</f>
        <v>zone 123.10.10.in-addr.arpa. addRR 13 PTR blg-bMAIN-STCA.name.cisco.com.</v>
      </c>
    </row>
    <row r="100" ht="13.5">
      <c r="A100" s="93" t="str">
        <f>CONCATENATE("zone ",MID('NIDS DNS table'!$C$62,FIND(".",'NIDS DNS table'!$C$62,FIND(".",'NIDS DNS table'!$C$62)+1)+1,FIND(".",'NIDS DNS table'!$C$62,FIND(".",'NIDS DNS table'!$C$62,FIND(".",'NIDS DNS table'!$C$62)+1)+1)-FIND(".",'NIDS DNS table'!$C$62,FIND(".",'NIDS DNS table'!$C$62)+1)),MID('NIDS DNS table'!$C$62,FIND(".",'NIDS DNS table'!$C$62)+1,FIND(".",'NIDS DNS table'!$C$62,FIND(".",'NIDS DNS table'!$C$62)+1)-FIND(".",'NIDS DNS table'!$C$62)),LEFT('NIDS DNS table'!$C$62,FIND(".",'NIDS DNS table'!$C$62)),"in-addr.arpa. addRR ",RIGHT('NIDS DNS table'!$C$62,LEN('NIDS DNS table'!$C$62)-FIND(".",'NIDS DNS table'!$C$62,FIND(".",'NIDS DNS table'!$C$62,FIND(".",'NIDS DNS table'!$C$62)+1)+1))," PTR ",'NIDS DNS table'!$B$62,".")</f>
        <v>zone 124.10.10.in-addr.arpa. addRR 146 PTR sim-MAIN-STCA146.name.cisco.com.</v>
      </c>
    </row>
    <row r="101" ht="13.5">
      <c r="A101" s="93" t="str">
        <f>CONCATENATE("zone ",MID('NIDS DNS table'!$C$63,FIND(".",'NIDS DNS table'!$C$63,FIND(".",'NIDS DNS table'!$C$63)+1)+1,FIND(".",'NIDS DNS table'!$C$63,FIND(".",'NIDS DNS table'!$C$63,FIND(".",'NIDS DNS table'!$C$63)+1)+1)-FIND(".",'NIDS DNS table'!$C$63,FIND(".",'NIDS DNS table'!$C$63)+1)),MID('NIDS DNS table'!$C$63,FIND(".",'NIDS DNS table'!$C$63)+1,FIND(".",'NIDS DNS table'!$C$63,FIND(".",'NIDS DNS table'!$C$63)+1)-FIND(".",'NIDS DNS table'!$C$63)),LEFT('NIDS DNS table'!$C$63,FIND(".",'NIDS DNS table'!$C$63)),"in-addr.arpa. addRR ",RIGHT('NIDS DNS table'!$C$63,LEN('NIDS DNS table'!$C$63)-FIND(".",'NIDS DNS table'!$C$63,FIND(".",'NIDS DNS table'!$C$63,FIND(".",'NIDS DNS table'!$C$63)+1)+1))," PTR ",'NIDS DNS table'!$B$62,".")</f>
        <v>zone 125.10.10.in-addr.arpa. addRR 146 PTR sim-MAIN-STCA146.name.cisco.com.</v>
      </c>
    </row>
    <row r="102" ht="13.5">
      <c r="A102" s="93" t="str">
        <f>CONCATENATE("zone ",MID('NIDS DNS table'!$C$76,FIND(".",'NIDS DNS table'!$C$76,FIND(".",'NIDS DNS table'!$C$76)+1)+1,FIND(".",'NIDS DNS table'!$C$76,FIND(".",'NIDS DNS table'!$C$76,FIND(".",'NIDS DNS table'!$C$76)+1)+1)-FIND(".",'NIDS DNS table'!$C$76,FIND(".",'NIDS DNS table'!$C$76)+1)),MID('NIDS DNS table'!$C$76,FIND(".",'NIDS DNS table'!$C$76)+1,FIND(".",'NIDS DNS table'!$C$76,FIND(".",'NIDS DNS table'!$C$76)+1)-FIND(".",'NIDS DNS table'!$C$76)),LEFT('NIDS DNS table'!$C$76,FIND(".",'NIDS DNS table'!$C$76)),"in-addr.arpa. addRR ",RIGHT('NIDS DNS table'!$C$76,LEN('NIDS DNS table'!$C$76)-FIND(".",'NIDS DNS table'!$C$76,FIND(".",'NIDS DNS table'!$C$76,FIND(".",'NIDS DNS table'!$C$76)+1)+1))," PTR ",'NIDS DNS table'!$B$76,".")</f>
        <v>zone 124.10.10.in-addr.arpa. addRR 205 PTR asm-MAIN-STAIN205.name.cisco.com.</v>
      </c>
    </row>
    <row r="103" ht="13.5">
      <c r="A103" s="93" t="str">
        <f>CONCATENATE("zone ",MID('NIDS DNS table'!$C$77,FIND(".",'NIDS DNS table'!$C$77,FIND(".",'NIDS DNS table'!$C$77)+1)+1,FIND(".",'NIDS DNS table'!$C$77,FIND(".",'NIDS DNS table'!$C$77,FIND(".",'NIDS DNS table'!$C$77)+1)+1)-FIND(".",'NIDS DNS table'!$C$77,FIND(".",'NIDS DNS table'!$C$77)+1)),MID('NIDS DNS table'!$C$77,FIND(".",'NIDS DNS table'!$C$77)+1,FIND(".",'NIDS DNS table'!$C$77,FIND(".",'NIDS DNS table'!$C$77)+1)-FIND(".",'NIDS DNS table'!$C$77)),LEFT('NIDS DNS table'!$C$77,FIND(".",'NIDS DNS table'!$C$77)),"in-addr.arpa. addRR ",RIGHT('NIDS DNS table'!$C$77,LEN('NIDS DNS table'!$C$77)-FIND(".",'NIDS DNS table'!$C$77,FIND(".",'NIDS DNS table'!$C$77,FIND(".",'NIDS DNS table'!$C$77)+1)+1))," PTR ",'NIDS DNS table'!$B$76,".")</f>
        <v>zone 125.10.10.in-addr.arpa. addRR 205 PTR asm-MAIN-STAIN205.name.cisco.com.</v>
      </c>
    </row>
    <row r="104" ht="13.5">
      <c r="A104" s="93" t="str">
        <f>CONCATENATE("zone ",MID('NIDS DNS table'!$C$86,FIND(".",'NIDS DNS table'!$C$86,FIND(".",'NIDS DNS table'!$C$86)+1)+1,FIND(".",'NIDS DNS table'!$C$86,FIND(".",'NIDS DNS table'!$C$86,FIND(".",'NIDS DNS table'!$C$86)+1)+1)-FIND(".",'NIDS DNS table'!$C$86,FIND(".",'NIDS DNS table'!$C$86)+1)),MID('NIDS DNS table'!$C$86,FIND(".",'NIDS DNS table'!$C$86)+1,FIND(".",'NIDS DNS table'!$C$86,FIND(".",'NIDS DNS table'!$C$86)+1)-FIND(".",'NIDS DNS table'!$C$86)),LEFT('NIDS DNS table'!$C$86,FIND(".",'NIDS DNS table'!$C$86)),"in-addr.arpa. addRR ",RIGHT('NIDS DNS table'!$C$86,LEN('NIDS DNS table'!$C$86)-FIND(".",'NIDS DNS table'!$C$86,FIND(".",'NIDS DNS table'!$C$86,FIND(".",'NIDS DNS table'!$C$86)+1)+1))," PTR ",'NIDS DNS table'!$B$86,".")</f>
        <v>zone 124.10.10.in-addr.arpa. addRR 235 PTR pots-MAIN-STPTC235.name.cisco.com.</v>
      </c>
    </row>
    <row r="105" ht="13.5">
      <c r="A105" s="93" t="str">
        <f>CONCATENATE("zone ",MID('NIDS DNS table'!$C$87,FIND(".",'NIDS DNS table'!$C$87,FIND(".",'NIDS DNS table'!$C$87)+1)+1,FIND(".",'NIDS DNS table'!$C$87,FIND(".",'NIDS DNS table'!$C$87,FIND(".",'NIDS DNS table'!$C$87)+1)+1)-FIND(".",'NIDS DNS table'!$C$87,FIND(".",'NIDS DNS table'!$C$87)+1)),MID('NIDS DNS table'!$C$87,FIND(".",'NIDS DNS table'!$C$87)+1,FIND(".",'NIDS DNS table'!$C$87,FIND(".",'NIDS DNS table'!$C$87)+1)-FIND(".",'NIDS DNS table'!$C$87)),LEFT('NIDS DNS table'!$C$87,FIND(".",'NIDS DNS table'!$C$87)),"in-addr.arpa. addRR ",RIGHT('NIDS DNS table'!$C$87,LEN('NIDS DNS table'!$C$87)-FIND(".",'NIDS DNS table'!$C$87,FIND(".",'NIDS DNS table'!$C$87,FIND(".",'NIDS DNS table'!$C$87)+1)+1))," PTR ",'NIDS DNS table'!$B$86,".")</f>
        <v>zone 125.10.10.in-addr.arpa. addRR 235 PTR pots-MAIN-STPTC235.name.cisco.com.</v>
      </c>
    </row>
    <row r="106" ht="13.5">
      <c r="A106" s="93" t="str">
        <f>CONCATENATE("zone ",MID('NIDS DNS table'!$C$102,FIND(".",'NIDS DNS table'!$C$102,FIND(".",'NIDS DNS table'!$C$102)+1)+1,FIND(".",'NIDS DNS table'!$C$102,FIND(".",'NIDS DNS table'!$C$102,FIND(".",'NIDS DNS table'!$C$102)+1)+1)-FIND(".",'NIDS DNS table'!$C$102,FIND(".",'NIDS DNS table'!$C$102)+1)),MID('NIDS DNS table'!$C$102,FIND(".",'NIDS DNS table'!$C$102)+1,FIND(".",'NIDS DNS table'!$C$102,FIND(".",'NIDS DNS table'!$C$102)+1)-FIND(".",'NIDS DNS table'!$C$102)),LEFT('NIDS DNS table'!$C$102,FIND(".",'NIDS DNS table'!$C$102)),"in-addr.arpa. addRR ",RIGHT('NIDS DNS table'!$C$102,LEN('NIDS DNS table'!$C$102)-FIND(".",'NIDS DNS table'!$C$102,FIND(".",'NIDS DNS table'!$C$102,FIND(".",'NIDS DNS table'!$C$102)+1)+1))," PTR ",'NIDS DNS table'!$B$102,".")</f>
        <v>zone 122.10.10.in-addr.arpa. addRR 12 PTR oms-aMAIN-STCA.name.cisco.com.</v>
      </c>
    </row>
    <row r="107" ht="13.5">
      <c r="A107" s="93" t="str">
        <f>CONCATENATE("zone ",MID('NIDS DNS table'!$C$103,FIND(".",'NIDS DNS table'!$C$103,FIND(".",'NIDS DNS table'!$C$103)+1)+1,FIND(".",'NIDS DNS table'!$C$103,FIND(".",'NIDS DNS table'!$C$103,FIND(".",'NIDS DNS table'!$C$103)+1)+1)-FIND(".",'NIDS DNS table'!$C$103,FIND(".",'NIDS DNS table'!$C$103)+1)),MID('NIDS DNS table'!$C$103,FIND(".",'NIDS DNS table'!$C$103)+1,FIND(".",'NIDS DNS table'!$C$103,FIND(".",'NIDS DNS table'!$C$103)+1)-FIND(".",'NIDS DNS table'!$C$103)),LEFT('NIDS DNS table'!$C$103,FIND(".",'NIDS DNS table'!$C$103)),"in-addr.arpa. addRR ",RIGHT('NIDS DNS table'!$C$103,LEN('NIDS DNS table'!$C$103)-FIND(".",'NIDS DNS table'!$C$103,FIND(".",'NIDS DNS table'!$C$103,FIND(".",'NIDS DNS table'!$C$103)+1)+1))," PTR ",'NIDS DNS table'!$B$102,".")</f>
        <v>zone 123.10.10.in-addr.arpa. addRR 12 PTR oms-aMAIN-STCA.name.cisco.com.</v>
      </c>
    </row>
    <row r="108" ht="13.5">
      <c r="A108" s="93" t="str">
        <f>CONCATENATE("zone ",MID('NIDS DNS table'!$C$104,FIND(".",'NIDS DNS table'!$C$104,FIND(".",'NIDS DNS table'!$C$104)+1)+1,FIND(".",'NIDS DNS table'!$C$104,FIND(".",'NIDS DNS table'!$C$104,FIND(".",'NIDS DNS table'!$C$104)+1)+1)-FIND(".",'NIDS DNS table'!$C$104,FIND(".",'NIDS DNS table'!$C$104)+1)),MID('NIDS DNS table'!$C$104,FIND(".",'NIDS DNS table'!$C$104)+1,FIND(".",'NIDS DNS table'!$C$104,FIND(".",'NIDS DNS table'!$C$104)+1)-FIND(".",'NIDS DNS table'!$C$104)),LEFT('NIDS DNS table'!$C$104,FIND(".",'NIDS DNS table'!$C$104)),"in-addr.arpa. addRR ",RIGHT('NIDS DNS table'!$C$104,LEN('NIDS DNS table'!$C$104)-FIND(".",'NIDS DNS table'!$C$104,FIND(".",'NIDS DNS table'!$C$104,FIND(".",'NIDS DNS table'!$C$104)+1)+1))," PTR ",'NIDS DNS table'!$B$104,".")</f>
        <v>zone 122.10.10.in-addr.arpa. addRR 13 PTR oms-bMAIN-STCA.name.cisco.com.</v>
      </c>
    </row>
    <row r="109" ht="13.5">
      <c r="A109" s="93" t="str">
        <f>CONCATENATE("zone ",MID('NIDS DNS table'!$C$105,FIND(".",'NIDS DNS table'!$C$105,FIND(".",'NIDS DNS table'!$C$105)+1)+1,FIND(".",'NIDS DNS table'!$C$105,FIND(".",'NIDS DNS table'!$C$105,FIND(".",'NIDS DNS table'!$C$105)+1)+1)-FIND(".",'NIDS DNS table'!$C$105,FIND(".",'NIDS DNS table'!$C$105)+1)),MID('NIDS DNS table'!$C$105,FIND(".",'NIDS DNS table'!$C$105)+1,FIND(".",'NIDS DNS table'!$C$105,FIND(".",'NIDS DNS table'!$C$105)+1)-FIND(".",'NIDS DNS table'!$C$105)),LEFT('NIDS DNS table'!$C$105,FIND(".",'NIDS DNS table'!$C$105)),"in-addr.arpa. addRR ",RIGHT('NIDS DNS table'!$C$105,LEN('NIDS DNS table'!$C$105)-FIND(".",'NIDS DNS table'!$C$105,FIND(".",'NIDS DNS table'!$C$105,FIND(".",'NIDS DNS table'!$C$105)+1)+1))," PTR ",'NIDS DNS table'!$B$104,".")</f>
        <v>zone 123.10.10.in-addr.arpa. addRR 13 PTR oms-bMAIN-STCA.name.cisco.com.</v>
      </c>
    </row>
    <row r="110" ht="13.5">
      <c r="A110" s="93" t="str">
        <f>CONCATENATE("zone ",MID('NIDS DNS table'!$C$106,FIND(".",'NIDS DNS table'!$C$106,FIND(".",'NIDS DNS table'!$C$106)+1)+1,FIND(".",'NIDS DNS table'!$C$106,FIND(".",'NIDS DNS table'!$C$106,FIND(".",'NIDS DNS table'!$C$106)+1)+1)-FIND(".",'NIDS DNS table'!$C$106,FIND(".",'NIDS DNS table'!$C$106)+1)),MID('NIDS DNS table'!$C$106,FIND(".",'NIDS DNS table'!$C$106)+1,FIND(".",'NIDS DNS table'!$C$106,FIND(".",'NIDS DNS table'!$C$106)+1)-FIND(".",'NIDS DNS table'!$C$106)),LEFT('NIDS DNS table'!$C$106,FIND(".",'NIDS DNS table'!$C$106)),"in-addr.arpa. addRR ",RIGHT('NIDS DNS table'!$C$106,LEN('NIDS DNS table'!$C$106)-FIND(".",'NIDS DNS table'!$C$106,FIND(".",'NIDS DNS table'!$C$106,FIND(".",'NIDS DNS table'!$C$106)+1)+1))," PTR ",'NIDS DNS table'!$B$106,".")</f>
        <v>zone 122.10.10.in-addr.arpa. addRR 12 PTR oms-aMAIN-STAIN.name.cisco.com.</v>
      </c>
    </row>
    <row r="111" ht="13.5">
      <c r="A111" s="93" t="str">
        <f>CONCATENATE("zone ",MID('NIDS DNS table'!$C$107,FIND(".",'NIDS DNS table'!$C$107,FIND(".",'NIDS DNS table'!$C$107)+1)+1,FIND(".",'NIDS DNS table'!$C$107,FIND(".",'NIDS DNS table'!$C$107,FIND(".",'NIDS DNS table'!$C$107)+1)+1)-FIND(".",'NIDS DNS table'!$C$107,FIND(".",'NIDS DNS table'!$C$107)+1)),MID('NIDS DNS table'!$C$107,FIND(".",'NIDS DNS table'!$C$107)+1,FIND(".",'NIDS DNS table'!$C$107,FIND(".",'NIDS DNS table'!$C$107)+1)-FIND(".",'NIDS DNS table'!$C$107)),LEFT('NIDS DNS table'!$C$107,FIND(".",'NIDS DNS table'!$C$107)),"in-addr.arpa. addRR ",RIGHT('NIDS DNS table'!$C$107,LEN('NIDS DNS table'!$C$107)-FIND(".",'NIDS DNS table'!$C$107,FIND(".",'NIDS DNS table'!$C$107,FIND(".",'NIDS DNS table'!$C$107)+1)+1))," PTR ",'NIDS DNS table'!$B$106,".")</f>
        <v>zone 123.10.10.in-addr.arpa. addRR 12 PTR oms-aMAIN-STAIN.name.cisco.com.</v>
      </c>
    </row>
    <row r="112" ht="13.5">
      <c r="A112" s="93" t="str">
        <f>CONCATENATE("zone ",MID('NIDS DNS table'!$C$108,FIND(".",'NIDS DNS table'!$C$108,FIND(".",'NIDS DNS table'!$C$108)+1)+1,FIND(".",'NIDS DNS table'!$C$108,FIND(".",'NIDS DNS table'!$C$108,FIND(".",'NIDS DNS table'!$C$108)+1)+1)-FIND(".",'NIDS DNS table'!$C$108,FIND(".",'NIDS DNS table'!$C$108)+1)),MID('NIDS DNS table'!$C$108,FIND(".",'NIDS DNS table'!$C$108)+1,FIND(".",'NIDS DNS table'!$C$108,FIND(".",'NIDS DNS table'!$C$108)+1)-FIND(".",'NIDS DNS table'!$C$108)),LEFT('NIDS DNS table'!$C$108,FIND(".",'NIDS DNS table'!$C$108)),"in-addr.arpa. addRR ",RIGHT('NIDS DNS table'!$C$108,LEN('NIDS DNS table'!$C$108)-FIND(".",'NIDS DNS table'!$C$108,FIND(".",'NIDS DNS table'!$C$108,FIND(".",'NIDS DNS table'!$C$108)+1)+1))," PTR ",'NIDS DNS table'!$B$108,".")</f>
        <v>zone 122.10.10.in-addr.arpa. addRR 13 PTR oms-bMAIN-STAIN.name.cisco.com.</v>
      </c>
    </row>
    <row r="113" ht="13.5">
      <c r="A113" s="93" t="str">
        <f>CONCATENATE("zone ",MID('NIDS DNS table'!$C$109,FIND(".",'NIDS DNS table'!$C$109,FIND(".",'NIDS DNS table'!$C$109)+1)+1,FIND(".",'NIDS DNS table'!$C$109,FIND(".",'NIDS DNS table'!$C$109,FIND(".",'NIDS DNS table'!$C$109)+1)+1)-FIND(".",'NIDS DNS table'!$C$109,FIND(".",'NIDS DNS table'!$C$109)+1)),MID('NIDS DNS table'!$C$109,FIND(".",'NIDS DNS table'!$C$109)+1,FIND(".",'NIDS DNS table'!$C$109,FIND(".",'NIDS DNS table'!$C$109)+1)-FIND(".",'NIDS DNS table'!$C$109)),LEFT('NIDS DNS table'!$C$109,FIND(".",'NIDS DNS table'!$C$109)),"in-addr.arpa. addRR ",RIGHT('NIDS DNS table'!$C$109,LEN('NIDS DNS table'!$C$109)-FIND(".",'NIDS DNS table'!$C$109,FIND(".",'NIDS DNS table'!$C$109,FIND(".",'NIDS DNS table'!$C$109)+1)+1))," PTR ",'NIDS DNS table'!$B$108,".")</f>
        <v>zone 123.10.10.in-addr.arpa. addRR 13 PTR oms-bMAIN-STAIN.name.cisco.com.</v>
      </c>
    </row>
    <row r="114" ht="13.5">
      <c r="A114" s="93" t="str">
        <f>CONCATENATE("zone ",MID('NIDS DNS table'!$C$110,FIND(".",'NIDS DNS table'!$C$110,FIND(".",'NIDS DNS table'!$C$110)+1)+1,FIND(".",'NIDS DNS table'!$C$110,FIND(".",'NIDS DNS table'!$C$110,FIND(".",'NIDS DNS table'!$C$110)+1)+1)-FIND(".",'NIDS DNS table'!$C$110,FIND(".",'NIDS DNS table'!$C$110)+1)),MID('NIDS DNS table'!$C$110,FIND(".",'NIDS DNS table'!$C$110)+1,FIND(".",'NIDS DNS table'!$C$110,FIND(".",'NIDS DNS table'!$C$110)+1)-FIND(".",'NIDS DNS table'!$C$110)),LEFT('NIDS DNS table'!$C$110,FIND(".",'NIDS DNS table'!$C$110)),"in-addr.arpa. addRR ",RIGHT('NIDS DNS table'!$C$110,LEN('NIDS DNS table'!$C$110)-FIND(".",'NIDS DNS table'!$C$110,FIND(".",'NIDS DNS table'!$C$110,FIND(".",'NIDS DNS table'!$C$110)+1)+1))," PTR ",'NIDS DNS table'!$B$110,".")</f>
        <v>zone 122.10.10.in-addr.arpa. addRR 12 PTR oms-aMAIN-STPTC.name.cisco.com.</v>
      </c>
    </row>
    <row r="115" ht="13.5">
      <c r="A115" s="93" t="str">
        <f>CONCATENATE("zone ",MID('NIDS DNS table'!$C$111,FIND(".",'NIDS DNS table'!$C$111,FIND(".",'NIDS DNS table'!$C$111)+1)+1,FIND(".",'NIDS DNS table'!$C$111,FIND(".",'NIDS DNS table'!$C$111,FIND(".",'NIDS DNS table'!$C$111)+1)+1)-FIND(".",'NIDS DNS table'!$C$111,FIND(".",'NIDS DNS table'!$C$111)+1)),MID('NIDS DNS table'!$C$111,FIND(".",'NIDS DNS table'!$C$111)+1,FIND(".",'NIDS DNS table'!$C$111,FIND(".",'NIDS DNS table'!$C$111)+1)-FIND(".",'NIDS DNS table'!$C$111)),LEFT('NIDS DNS table'!$C$111,FIND(".",'NIDS DNS table'!$C$111)),"in-addr.arpa. addRR ",RIGHT('NIDS DNS table'!$C$111,LEN('NIDS DNS table'!$C$111)-FIND(".",'NIDS DNS table'!$C$111,FIND(".",'NIDS DNS table'!$C$111,FIND(".",'NIDS DNS table'!$C$111)+1)+1))," PTR ",'NIDS DNS table'!$B$110,".")</f>
        <v>zone 123.10.10.in-addr.arpa. addRR 12 PTR oms-aMAIN-STPTC.name.cisco.com.</v>
      </c>
    </row>
    <row r="116" ht="13.5">
      <c r="A116" s="93" t="str">
        <f>CONCATENATE("zone ",MID('NIDS DNS table'!$C$112,FIND(".",'NIDS DNS table'!$C$112,FIND(".",'NIDS DNS table'!$C$112)+1)+1,FIND(".",'NIDS DNS table'!$C$112,FIND(".",'NIDS DNS table'!$C$112,FIND(".",'NIDS DNS table'!$C$112)+1)+1)-FIND(".",'NIDS DNS table'!$C$112,FIND(".",'NIDS DNS table'!$C$112)+1)),MID('NIDS DNS table'!$C$112,FIND(".",'NIDS DNS table'!$C$112)+1,FIND(".",'NIDS DNS table'!$C$112,FIND(".",'NIDS DNS table'!$C$112)+1)-FIND(".",'NIDS DNS table'!$C$112)),LEFT('NIDS DNS table'!$C$112,FIND(".",'NIDS DNS table'!$C$112)),"in-addr.arpa. addRR ",RIGHT('NIDS DNS table'!$C$112,LEN('NIDS DNS table'!$C$112)-FIND(".",'NIDS DNS table'!$C$112,FIND(".",'NIDS DNS table'!$C$112,FIND(".",'NIDS DNS table'!$C$112)+1)+1))," PTR ",'NIDS DNS table'!$B$112,".")</f>
        <v>zone 122.10.10.in-addr.arpa. addRR 13 PTR oms-bMAIN-STPTC.name.cisco.com.</v>
      </c>
    </row>
    <row r="117" ht="13.5">
      <c r="A117" s="93" t="str">
        <f>CONCATENATE("zone ",MID('NIDS DNS table'!$C$113,FIND(".",'NIDS DNS table'!$C$113,FIND(".",'NIDS DNS table'!$C$113)+1)+1,FIND(".",'NIDS DNS table'!$C$113,FIND(".",'NIDS DNS table'!$C$113,FIND(".",'NIDS DNS table'!$C$113)+1)+1)-FIND(".",'NIDS DNS table'!$C$113,FIND(".",'NIDS DNS table'!$C$113)+1)),MID('NIDS DNS table'!$C$113,FIND(".",'NIDS DNS table'!$C$113)+1,FIND(".",'NIDS DNS table'!$C$113,FIND(".",'NIDS DNS table'!$C$113)+1)-FIND(".",'NIDS DNS table'!$C$113)),LEFT('NIDS DNS table'!$C$113,FIND(".",'NIDS DNS table'!$C$113)),"in-addr.arpa. addRR ",RIGHT('NIDS DNS table'!$C$113,LEN('NIDS DNS table'!$C$113)-FIND(".",'NIDS DNS table'!$C$113,FIND(".",'NIDS DNS table'!$C$113,FIND(".",'NIDS DNS table'!$C$113)+1)+1))," PTR ",'NIDS DNS table'!$B$112,".")</f>
        <v>zone 123.10.10.in-addr.arpa. addRR 13 PTR oms-bMAIN-STPTC.name.cisco.com.</v>
      </c>
    </row>
    <row r="118" ht="13.5">
      <c r="A118" s="93" t="str">
        <f>CONCATENATE("zone ",MID('NIDS DNS table'!$C$114,FIND(".",'NIDS DNS table'!$C$114,FIND(".",'NIDS DNS table'!$C$114)+1)+1,FIND(".",'NIDS DNS table'!$C$114,FIND(".",'NIDS DNS table'!$C$114,FIND(".",'NIDS DNS table'!$C$114)+1)+1)-FIND(".",'NIDS DNS table'!$C$114,FIND(".",'NIDS DNS table'!$C$114)+1)),MID('NIDS DNS table'!$C$114,FIND(".",'NIDS DNS table'!$C$114)+1,FIND(".",'NIDS DNS table'!$C$114,FIND(".",'NIDS DNS table'!$C$114)+1)-FIND(".",'NIDS DNS table'!$C$114)),LEFT('NIDS DNS table'!$C$114,FIND(".",'NIDS DNS table'!$C$114)),"in-addr.arpa. addRR ",RIGHT('NIDS DNS table'!$C$114,LEN('NIDS DNS table'!$C$114)-FIND(".",'NIDS DNS table'!$C$114,FIND(".",'NIDS DNS table'!$C$114,FIND(".",'NIDS DNS table'!$C$114)+1)+1))," PTR ",'NIDS DNS table'!$B$114,".")</f>
        <v>zone 122.10.10.in-addr.arpa. addRR 10 PTR oms-aMAIN-STEMS.name.cisco.com.</v>
      </c>
    </row>
    <row r="119" ht="13.5">
      <c r="A119" s="93" t="str">
        <f>CONCATENATE("zone ",MID('NIDS DNS table'!$C$115,FIND(".",'NIDS DNS table'!$C$115,FIND(".",'NIDS DNS table'!$C$115)+1)+1,FIND(".",'NIDS DNS table'!$C$115,FIND(".",'NIDS DNS table'!$C$115,FIND(".",'NIDS DNS table'!$C$115)+1)+1)-FIND(".",'NIDS DNS table'!$C$115,FIND(".",'NIDS DNS table'!$C$115)+1)),MID('NIDS DNS table'!$C$115,FIND(".",'NIDS DNS table'!$C$115)+1,FIND(".",'NIDS DNS table'!$C$115,FIND(".",'NIDS DNS table'!$C$115)+1)-FIND(".",'NIDS DNS table'!$C$115)),LEFT('NIDS DNS table'!$C$115,FIND(".",'NIDS DNS table'!$C$115)),"in-addr.arpa. addRR ",RIGHT('NIDS DNS table'!$C$115,LEN('NIDS DNS table'!$C$115)-FIND(".",'NIDS DNS table'!$C$115,FIND(".",'NIDS DNS table'!$C$115,FIND(".",'NIDS DNS table'!$C$115)+1)+1))," PTR ",'NIDS DNS table'!$B$114,".")</f>
        <v>zone 123.10.10.in-addr.arpa. addRR 10 PTR oms-aMAIN-STEMS.name.cisco.com.</v>
      </c>
    </row>
    <row r="120" ht="13.5">
      <c r="A120" s="93" t="str">
        <f>CONCATENATE("zone ",MID('NIDS DNS table'!$C$116,FIND(".",'NIDS DNS table'!$C$116,FIND(".",'NIDS DNS table'!$C$116)+1)+1,FIND(".",'NIDS DNS table'!$C$116,FIND(".",'NIDS DNS table'!$C$116,FIND(".",'NIDS DNS table'!$C$116)+1)+1)-FIND(".",'NIDS DNS table'!$C$116,FIND(".",'NIDS DNS table'!$C$116)+1)),MID('NIDS DNS table'!$C$116,FIND(".",'NIDS DNS table'!$C$116)+1,FIND(".",'NIDS DNS table'!$C$116,FIND(".",'NIDS DNS table'!$C$116)+1)-FIND(".",'NIDS DNS table'!$C$116)),LEFT('NIDS DNS table'!$C$116,FIND(".",'NIDS DNS table'!$C$116)),"in-addr.arpa. addRR ",RIGHT('NIDS DNS table'!$C$116,LEN('NIDS DNS table'!$C$116)-FIND(".",'NIDS DNS table'!$C$116,FIND(".",'NIDS DNS table'!$C$116,FIND(".",'NIDS DNS table'!$C$116)+1)+1))," PTR ",'NIDS DNS table'!$B$116,".")</f>
        <v>zone 122.10.10.in-addr.arpa. addRR 11 PTR oms-bMAIN-STEMS.name.cisco.com.</v>
      </c>
    </row>
    <row r="121" ht="13.5">
      <c r="A121" s="93" t="str">
        <f>CONCATENATE("zone ",MID('NIDS DNS table'!$C$117,FIND(".",'NIDS DNS table'!$C$117,FIND(".",'NIDS DNS table'!$C$117)+1)+1,FIND(".",'NIDS DNS table'!$C$117,FIND(".",'NIDS DNS table'!$C$117,FIND(".",'NIDS DNS table'!$C$117)+1)+1)-FIND(".",'NIDS DNS table'!$C$117,FIND(".",'NIDS DNS table'!$C$117)+1)),MID('NIDS DNS table'!$C$117,FIND(".",'NIDS DNS table'!$C$117)+1,FIND(".",'NIDS DNS table'!$C$117,FIND(".",'NIDS DNS table'!$C$117)+1)-FIND(".",'NIDS DNS table'!$C$117)),LEFT('NIDS DNS table'!$C$117,FIND(".",'NIDS DNS table'!$C$117)),"in-addr.arpa. addRR ",RIGHT('NIDS DNS table'!$C$117,LEN('NIDS DNS table'!$C$117)-FIND(".",'NIDS DNS table'!$C$117,FIND(".",'NIDS DNS table'!$C$117,FIND(".",'NIDS DNS table'!$C$117)+1)+1))," PTR ",'NIDS DNS table'!$B$116,".")</f>
        <v>zone 123.10.10.in-addr.arpa. addRR 11 PTR oms-bMAIN-STEMS.name.cisco.com.</v>
      </c>
    </row>
    <row r="122" ht="13.5">
      <c r="A122" s="93" t="str">
        <f>CONCATENATE("zone ",MID('NIDS DNS table'!$C$118,FIND(".",'NIDS DNS table'!$C$118,FIND(".",'NIDS DNS table'!$C$118)+1)+1,FIND(".",'NIDS DNS table'!$C$118,FIND(".",'NIDS DNS table'!$C$118,FIND(".",'NIDS DNS table'!$C$118)+1)+1)-FIND(".",'NIDS DNS table'!$C$118,FIND(".",'NIDS DNS table'!$C$118)+1)),MID('NIDS DNS table'!$C$118,FIND(".",'NIDS DNS table'!$C$118)+1,FIND(".",'NIDS DNS table'!$C$118,FIND(".",'NIDS DNS table'!$C$118)+1)-FIND(".",'NIDS DNS table'!$C$118)),LEFT('NIDS DNS table'!$C$118,FIND(".",'NIDS DNS table'!$C$118)),"in-addr.arpa. addRR ",RIGHT('NIDS DNS table'!$C$118,LEN('NIDS DNS table'!$C$118)-FIND(".",'NIDS DNS table'!$C$118,FIND(".",'NIDS DNS table'!$C$118,FIND(".",'NIDS DNS table'!$C$118)+1)+1))," PTR ",'NIDS DNS table'!$B$118,".")</f>
        <v>zone 122.10.10.in-addr.arpa. addRR 10 PTR mdii-aMAIN-STEMS.name.cisco.com.</v>
      </c>
    </row>
    <row r="123" ht="13.5">
      <c r="A123" s="93" t="str">
        <f>CONCATENATE("zone ",MID('NIDS DNS table'!$C$119,FIND(".",'NIDS DNS table'!$C$119,FIND(".",'NIDS DNS table'!$C$119)+1)+1,FIND(".",'NIDS DNS table'!$C$119,FIND(".",'NIDS DNS table'!$C$119,FIND(".",'NIDS DNS table'!$C$119)+1)+1)-FIND(".",'NIDS DNS table'!$C$119,FIND(".",'NIDS DNS table'!$C$119)+1)),MID('NIDS DNS table'!$C$119,FIND(".",'NIDS DNS table'!$C$119)+1,FIND(".",'NIDS DNS table'!$C$119,FIND(".",'NIDS DNS table'!$C$119)+1)-FIND(".",'NIDS DNS table'!$C$119)),LEFT('NIDS DNS table'!$C$119,FIND(".",'NIDS DNS table'!$C$119)),"in-addr.arpa. addRR ",RIGHT('NIDS DNS table'!$C$119,LEN('NIDS DNS table'!$C$119)-FIND(".",'NIDS DNS table'!$C$119,FIND(".",'NIDS DNS table'!$C$119,FIND(".",'NIDS DNS table'!$C$119)+1)+1))," PTR ",'NIDS DNS table'!$B$118,".")</f>
        <v>zone 123.10.10.in-addr.arpa. addRR 10 PTR mdii-aMAIN-STEMS.name.cisco.com.</v>
      </c>
    </row>
    <row r="124" ht="13.5">
      <c r="A124" s="93" t="str">
        <f>CONCATENATE("zone ",MID('NIDS DNS table'!$C$120,FIND(".",'NIDS DNS table'!$C$120,FIND(".",'NIDS DNS table'!$C$120)+1)+1,FIND(".",'NIDS DNS table'!$C$120,FIND(".",'NIDS DNS table'!$C$120,FIND(".",'NIDS DNS table'!$C$120)+1)+1)-FIND(".",'NIDS DNS table'!$C$120,FIND(".",'NIDS DNS table'!$C$120)+1)),MID('NIDS DNS table'!$C$120,FIND(".",'NIDS DNS table'!$C$120)+1,FIND(".",'NIDS DNS table'!$C$120,FIND(".",'NIDS DNS table'!$C$120)+1)-FIND(".",'NIDS DNS table'!$C$120)),LEFT('NIDS DNS table'!$C$120,FIND(".",'NIDS DNS table'!$C$120)),"in-addr.arpa. addRR ",RIGHT('NIDS DNS table'!$C$120,LEN('NIDS DNS table'!$C$120)-FIND(".",'NIDS DNS table'!$C$120,FIND(".",'NIDS DNS table'!$C$120,FIND(".",'NIDS DNS table'!$C$120)+1)+1))," PTR ",'NIDS DNS table'!$B$120,".")</f>
        <v>zone 122.10.10.in-addr.arpa. addRR 11 PTR mdii-bMAIN-STEMS.name.cisco.com.</v>
      </c>
    </row>
    <row r="125" ht="13.5">
      <c r="A125" s="93" t="str">
        <f>CONCATENATE("zone ",MID('NIDS DNS table'!$C$121,FIND(".",'NIDS DNS table'!$C$121,FIND(".",'NIDS DNS table'!$C$121)+1)+1,FIND(".",'NIDS DNS table'!$C$121,FIND(".",'NIDS DNS table'!$C$121,FIND(".",'NIDS DNS table'!$C$121)+1)+1)-FIND(".",'NIDS DNS table'!$C$121,FIND(".",'NIDS DNS table'!$C$121)+1)),MID('NIDS DNS table'!$C$121,FIND(".",'NIDS DNS table'!$C$121)+1,FIND(".",'NIDS DNS table'!$C$121,FIND(".",'NIDS DNS table'!$C$121)+1)-FIND(".",'NIDS DNS table'!$C$121)),LEFT('NIDS DNS table'!$C$121,FIND(".",'NIDS DNS table'!$C$121)),"in-addr.arpa. addRR ",RIGHT('NIDS DNS table'!$C$121,LEN('NIDS DNS table'!$C$121)-FIND(".",'NIDS DNS table'!$C$121,FIND(".",'NIDS DNS table'!$C$121,FIND(".",'NIDS DNS table'!$C$121)+1)+1))," PTR ",'NIDS DNS table'!$B$120,".")</f>
        <v>zone 123.10.10.in-addr.arpa. addRR 11 PTR mdii-bMAIN-STEMS.name.cisco.com.</v>
      </c>
    </row>
    <row r="126" ht="13.5">
      <c r="A126" s="93" t="str">
        <f>CONCATENATE("zone ",MID('NIDS DNS table'!$C$122,FIND(".",'NIDS DNS table'!$C$122,FIND(".",'NIDS DNS table'!$C$122)+1)+1,FIND(".",'NIDS DNS table'!$C$122,FIND(".",'NIDS DNS table'!$C$122,FIND(".",'NIDS DNS table'!$C$122)+1)+1)-FIND(".",'NIDS DNS table'!$C$122,FIND(".",'NIDS DNS table'!$C$122)+1)),MID('NIDS DNS table'!$C$122,FIND(".",'NIDS DNS table'!$C$122)+1,FIND(".",'NIDS DNS table'!$C$122,FIND(".",'NIDS DNS table'!$C$122)+1)-FIND(".",'NIDS DNS table'!$C$122)),LEFT('NIDS DNS table'!$C$122,FIND(".",'NIDS DNS table'!$C$122)),"in-addr.arpa. addRR ",RIGHT('NIDS DNS table'!$C$122,LEN('NIDS DNS table'!$C$122)-FIND(".",'NIDS DNS table'!$C$122,FIND(".",'NIDS DNS table'!$C$122,FIND(".",'NIDS DNS table'!$C$122)+1)+1))," PTR ",'NIDS DNS table'!$B$122,".")</f>
        <v>zone 225.89.10.in-addr.arpa. addRR 12 PTR iua-aMAIN-STCA.name.cisco.com.</v>
      </c>
    </row>
    <row r="127" ht="13.5">
      <c r="A127" s="93" t="str">
        <f>CONCATENATE("zone ",MID('NIDS DNS table'!$C$123,FIND(".",'NIDS DNS table'!$C$123,FIND(".",'NIDS DNS table'!$C$123)+1)+1,FIND(".",'NIDS DNS table'!$C$123,FIND(".",'NIDS DNS table'!$C$123,FIND(".",'NIDS DNS table'!$C$123)+1)+1)-FIND(".",'NIDS DNS table'!$C$123,FIND(".",'NIDS DNS table'!$C$123)+1)),MID('NIDS DNS table'!$C$123,FIND(".",'NIDS DNS table'!$C$123)+1,FIND(".",'NIDS DNS table'!$C$123,FIND(".",'NIDS DNS table'!$C$123)+1)-FIND(".",'NIDS DNS table'!$C$123)),LEFT('NIDS DNS table'!$C$123,FIND(".",'NIDS DNS table'!$C$123)),"in-addr.arpa. addRR ",RIGHT('NIDS DNS table'!$C$123,LEN('NIDS DNS table'!$C$123)-FIND(".",'NIDS DNS table'!$C$123,FIND(".",'NIDS DNS table'!$C$123,FIND(".",'NIDS DNS table'!$C$123)+1)+1))," PTR ",'NIDS DNS table'!$B$122,".")</f>
        <v>zone 226.89.10.in-addr.arpa. addRR 12 PTR iua-aMAIN-STCA.name.cisco.com.</v>
      </c>
    </row>
    <row r="128" ht="13.5">
      <c r="A128" s="93" t="str">
        <f>CONCATENATE("zone ",MID('NIDS DNS table'!$C$124,FIND(".",'NIDS DNS table'!$C$124,FIND(".",'NIDS DNS table'!$C$124)+1)+1,FIND(".",'NIDS DNS table'!$C$124,FIND(".",'NIDS DNS table'!$C$124,FIND(".",'NIDS DNS table'!$C$124)+1)+1)-FIND(".",'NIDS DNS table'!$C$124,FIND(".",'NIDS DNS table'!$C$124)+1)),MID('NIDS DNS table'!$C$124,FIND(".",'NIDS DNS table'!$C$124)+1,FIND(".",'NIDS DNS table'!$C$124,FIND(".",'NIDS DNS table'!$C$124)+1)-FIND(".",'NIDS DNS table'!$C$124)),LEFT('NIDS DNS table'!$C$124,FIND(".",'NIDS DNS table'!$C$124)),"in-addr.arpa. addRR ",RIGHT('NIDS DNS table'!$C$124,LEN('NIDS DNS table'!$C$124)-FIND(".",'NIDS DNS table'!$C$124,FIND(".",'NIDS DNS table'!$C$124,FIND(".",'NIDS DNS table'!$C$124)+1)+1))," PTR ",'NIDS DNS table'!$B$124,".")</f>
        <v>zone 225.89.10.in-addr.arpa. addRR 13 PTR iua-bMAIN-STCA.name.cisco.com.</v>
      </c>
    </row>
    <row r="129" ht="13.5">
      <c r="A129" s="93" t="str">
        <f>CONCATENATE("zone ",MID('NIDS DNS table'!$C$125,FIND(".",'NIDS DNS table'!$C$125,FIND(".",'NIDS DNS table'!$C$125)+1)+1,FIND(".",'NIDS DNS table'!$C$125,FIND(".",'NIDS DNS table'!$C$125,FIND(".",'NIDS DNS table'!$C$125)+1)+1)-FIND(".",'NIDS DNS table'!$C$125,FIND(".",'NIDS DNS table'!$C$125)+1)),MID('NIDS DNS table'!$C$125,FIND(".",'NIDS DNS table'!$C$125)+1,FIND(".",'NIDS DNS table'!$C$125,FIND(".",'NIDS DNS table'!$C$125)+1)-FIND(".",'NIDS DNS table'!$C$125)),LEFT('NIDS DNS table'!$C$125,FIND(".",'NIDS DNS table'!$C$125)),"in-addr.arpa. addRR ",RIGHT('NIDS DNS table'!$C$125,LEN('NIDS DNS table'!$C$125)-FIND(".",'NIDS DNS table'!$C$125,FIND(".",'NIDS DNS table'!$C$125,FIND(".",'NIDS DNS table'!$C$125)+1)+1))," PTR ",'NIDS DNS table'!$B$124,".")</f>
        <v>zone 226.89.10.in-addr.arpa. addRR 13 PTR iua-bMAIN-STCA.name.cisco.com.</v>
      </c>
    </row>
    <row r="130" ht="13.5">
      <c r="A130" s="93"/>
    </row>
    <row r="131" ht="13.5">
      <c r="A131" s="93" t="s">
        <v>617</v>
      </c>
    </row>
    <row r="132" ht="13.5">
      <c r="A132" s="93" t="s">
        <v>620</v>
      </c>
    </row>
    <row r="133" ht="13.5">
      <c r="A133" s="93" t="s">
        <v>617</v>
      </c>
    </row>
  </sheetData>
  <sheetProtection sheet="1" objects="1" scenarios="1"/>
  <printOptions/>
  <pageMargins left="0.75" right="0.75" top="0.74" bottom="0.58" header="0.5" footer="0.17"/>
  <pageSetup horizontalDpi="600" verticalDpi="600" orientation="portrait" r:id="rId1"/>
  <headerFooter alignWithMargins="0">
    <oddFooter>&amp;LCisco Systems, Inc. Confidential&amp;C&amp;A&amp;R&amp;D   Page &amp;P of &amp;N</oddFooter>
  </headerFooter>
</worksheet>
</file>

<file path=xl/worksheets/sheet9.xml><?xml version="1.0" encoding="utf-8"?>
<worksheet xmlns="http://schemas.openxmlformats.org/spreadsheetml/2006/main" xmlns:r="http://schemas.openxmlformats.org/officeDocument/2006/relationships">
  <dimension ref="A1:B162"/>
  <sheetViews>
    <sheetView showGridLines="0" workbookViewId="0" topLeftCell="A135">
      <selection activeCell="A156" sqref="A156:IV156"/>
    </sheetView>
  </sheetViews>
  <sheetFormatPr defaultColWidth="9.140625" defaultRowHeight="12.75"/>
  <cols>
    <col min="1" max="1" width="98.8515625" style="69" bestFit="1" customWidth="1"/>
    <col min="2" max="16384" width="9.140625" style="69" hidden="1" customWidth="1"/>
  </cols>
  <sheetData>
    <row r="1" spans="1:2" ht="13.5">
      <c r="A1" s="93" t="s">
        <v>199</v>
      </c>
      <c r="B1" s="69">
        <f>LEN('NIDS Data Entry + Netwk tables'!C11)+LEN('NIDS Data Entry + Netwk tables'!C30)+10+5</f>
        <v>36</v>
      </c>
    </row>
    <row r="2" ht="13.5">
      <c r="A2" s="93" t="s">
        <v>198</v>
      </c>
    </row>
    <row r="3" ht="13.5">
      <c r="A3" s="93" t="str">
        <f>CONCATENATE(";## Forward DNS BIND file for BTS Installation:  ",'NIDS Data Entry + Netwk tables'!C11)</f>
        <v>;## Forward DNS BIND file for BTS Installation:  MAIN-ST</v>
      </c>
    </row>
    <row r="4" ht="13.5">
      <c r="A4" s="93" t="s">
        <v>198</v>
      </c>
    </row>
    <row r="5" ht="13.5">
      <c r="A5" s="93" t="s">
        <v>199</v>
      </c>
    </row>
    <row r="6" ht="13.5">
      <c r="A6" s="93" t="s">
        <v>565</v>
      </c>
    </row>
    <row r="7" ht="13.5">
      <c r="A7" s="93" t="str">
        <f>CONCATENATE("@       IN      SOA     ",'NIDS Data Entry + Netwk tables'!$C$14,".",'NIDS Data Entry + Netwk tables'!$C$30,".   support.",'NIDS Data Entry + Netwk tables'!$C$30,".  (")</f>
        <v>@       IN      SOA     ns1.name.cisco.com.   support.name.cisco.com.  (</v>
      </c>
    </row>
    <row r="8" ht="13.5">
      <c r="A8" s="93" t="str">
        <f ca="1">CONCATENATE("                                ",YEAR(TODAY()),IF(LEN(MONTH(TODAY()))=1,"0",""),MONTH(TODAY()),IF(LEN(DAY(TODAY()))=1,"0",""),DAY(TODAY()),"01       ; Serial number")</f>
        <v>                                2007080101       ; Serial number</v>
      </c>
    </row>
    <row r="9" ht="13.5">
      <c r="A9" s="93" t="s">
        <v>200</v>
      </c>
    </row>
    <row r="10" ht="13.5">
      <c r="A10" s="93" t="s">
        <v>201</v>
      </c>
    </row>
    <row r="11" ht="13.5">
      <c r="A11" s="93" t="s">
        <v>202</v>
      </c>
    </row>
    <row r="12" ht="13.5">
      <c r="A12" s="93" t="s">
        <v>203</v>
      </c>
    </row>
    <row r="13" ht="13.5">
      <c r="A13" s="93"/>
    </row>
    <row r="14" ht="13.5">
      <c r="A14" s="93" t="s">
        <v>199</v>
      </c>
    </row>
    <row r="15" ht="13.5">
      <c r="A15" s="93" t="s">
        <v>193</v>
      </c>
    </row>
    <row r="16" ht="13.5">
      <c r="A16" s="93" t="s">
        <v>199</v>
      </c>
    </row>
    <row r="17" ht="13.5">
      <c r="A17" s="93"/>
    </row>
    <row r="18" ht="13.5">
      <c r="A18" s="93" t="str">
        <f>CONCATENATE("        IN      NS      ",'NIDS Data Entry + Netwk tables'!$C$14,".",'NIDS Data Entry + Netwk tables'!$C$30,".")</f>
        <v>        IN      NS      ns1.name.cisco.com.</v>
      </c>
    </row>
    <row r="19" ht="13.5">
      <c r="A19" s="93" t="str">
        <f>CONCATENATE("        IN      NS      ",'NIDS Data Entry + Netwk tables'!$C$16,".",'NIDS Data Entry + Netwk tables'!$C$30,".")</f>
        <v>        IN      NS      ns2.name.cisco.com.</v>
      </c>
    </row>
    <row r="20" ht="12.75">
      <c r="A20" s="95"/>
    </row>
    <row r="21" ht="13.5">
      <c r="A21" s="93" t="str">
        <f>CONCATENATE("localhost",REPT(" ",$B$1-9),"IN    A    127.0.0.1")</f>
        <v>localhost                           IN    A    127.0.0.1</v>
      </c>
    </row>
    <row r="22" ht="13.5">
      <c r="A22" s="93"/>
    </row>
    <row r="23" ht="13.5">
      <c r="A23" s="93" t="str">
        <f>CONCATENATE('NIDS Data Entry + Netwk tables'!$C$14,REPT(" ",$B$1-LEN('NIDS Data Entry + Netwk tables'!$C$14)),"IN    A    ",'NIDS Data Entry + Netwk tables'!$C$15)</f>
        <v>ns1                                 IN    A    10.89.123.1</v>
      </c>
    </row>
    <row r="24" ht="13.5">
      <c r="A24" s="93" t="str">
        <f>CONCATENATE('NIDS Data Entry + Netwk tables'!$C$16,REPT(" ",$B$1-LEN('NIDS Data Entry + Netwk tables'!$C$16)),"IN    A    ",'NIDS Data Entry + Netwk tables'!$C$17)</f>
        <v>ns2                                 IN    A    10.89.124.1</v>
      </c>
    </row>
    <row r="25" ht="13.5">
      <c r="A25" s="93"/>
    </row>
    <row r="26" ht="13.5">
      <c r="A26" s="93" t="s">
        <v>199</v>
      </c>
    </row>
    <row r="27" ht="13.5">
      <c r="A27" s="93" t="s">
        <v>194</v>
      </c>
    </row>
    <row r="28" ht="13.5">
      <c r="A28" s="93" t="s">
        <v>199</v>
      </c>
    </row>
    <row r="29" ht="13.5">
      <c r="A29" s="93"/>
    </row>
    <row r="30" ht="13.5">
      <c r="A30" s="93" t="str">
        <f>CONCATENATE('NIDS DNS table'!$B$8,".",REPT(" ",$B$1-LEN('NIDS DNS table'!$B$8)),"IN    A    ",'NIDS DNS table'!$C$8)</f>
        <v>priems.name.cisco.com.               IN    A    10.89.223.10</v>
      </c>
    </row>
    <row r="31" ht="13.5">
      <c r="A31" s="93" t="str">
        <f>CONCATENATE(REPT(" ",$B$1+1),"IN    A    ",'NIDS DNS table'!$C$9)</f>
        <v>                                     IN    A    10.89.224.10</v>
      </c>
    </row>
    <row r="32" ht="13.5">
      <c r="A32" s="93" t="str">
        <f>CONCATENATE('NIDS DNS table'!$B$10,".",REPT(" ",$B$1-LEN('NIDS DNS table'!$B$10)),"IN    A    ",'NIDS DNS table'!$C$10)</f>
        <v>secems.name.cisco.com.               IN    A    10.89.223.11</v>
      </c>
    </row>
    <row r="33" ht="13.5">
      <c r="A33" s="93" t="str">
        <f>CONCATENATE(REPT(" ",$B$1+1),"IN    A    ",'NIDS DNS table'!$C$11)</f>
        <v>                                     IN    A    10.89.224.11</v>
      </c>
    </row>
    <row r="34" ht="13.5">
      <c r="A34" s="93" t="str">
        <f>CONCATENATE('NIDS DNS table'!$B$12,".",REPT(" ",$B$1-LEN('NIDS DNS table'!$B$12)),"IN    A    ",'NIDS DNS table'!$C$12)</f>
        <v>prica.name.cisco.com.                IN    A    10.89.223.12</v>
      </c>
    </row>
    <row r="35" ht="13.5">
      <c r="A35" s="93" t="str">
        <f>CONCATENATE(REPT(" ",$B$1+1),"IN    A    ",'NIDS DNS table'!$C$13)</f>
        <v>                                     IN    A    10.89.224.12</v>
      </c>
    </row>
    <row r="36" ht="13.5">
      <c r="A36" s="93" t="str">
        <f>CONCATENATE('NIDS DNS table'!$B$14,".",REPT(" ",$B$1-LEN('NIDS DNS table'!$B$14)),"IN    A    ",'NIDS DNS table'!$C$14)</f>
        <v>secca.name.cisco.com.                IN    A    10.89.223.13</v>
      </c>
    </row>
    <row r="37" ht="13.5">
      <c r="A37" s="93" t="str">
        <f>CONCATENATE(REPT(" ",$B$1+1),"IN    A    ",'NIDS DNS table'!$C$15)</f>
        <v>                                     IN    A    10.89.224.13</v>
      </c>
    </row>
    <row r="38" ht="13.5">
      <c r="A38" s="93"/>
    </row>
    <row r="39" ht="13.5">
      <c r="A39" s="93" t="s">
        <v>199</v>
      </c>
    </row>
    <row r="40" ht="13.5">
      <c r="A40" s="93" t="s">
        <v>196</v>
      </c>
    </row>
    <row r="41" ht="13.5">
      <c r="A41" s="93" t="s">
        <v>199</v>
      </c>
    </row>
    <row r="42" ht="13.5">
      <c r="A42" s="93"/>
    </row>
    <row r="43" ht="13.5">
      <c r="A43" s="93" t="str">
        <f>CONCATENATE('NIDS DNS table'!$B$16,".",REPT(" ",$B$1-LEN('NIDS DNS table'!$B$16)),"IN    A    ",'NIDS DNS table'!$C$16)</f>
        <v>broker-MAIN-ST.name.cisco.com.       IN    A    10.89.225.254</v>
      </c>
    </row>
    <row r="44" ht="13.5">
      <c r="A44" s="93" t="str">
        <f>CONCATENATE(REPT(" ",$B$1+1),"IN    A    ",'NIDS DNS table'!$C$17)</f>
        <v>                                     IN    A    10.89.226.254</v>
      </c>
    </row>
    <row r="45" ht="13.5">
      <c r="A45" s="93" t="str">
        <f>CONCATENATE('NIDS DNS table'!$B$18,".",REPT(" ",$B$1-LEN('NIDS DNS table'!$B$18)),"IN    A    ",'NIDS DNS table'!$C$18)</f>
        <v>brokerems-MAIN-ST.name.cisco.com.    IN    A    10.89.223.254</v>
      </c>
    </row>
    <row r="46" ht="13.5">
      <c r="A46" s="93" t="str">
        <f>CONCATENATE(REPT(" ",$B$1+1),"IN    A    ",'NIDS DNS table'!$C$19)</f>
        <v>                                     IN    A    10.89.224.254</v>
      </c>
    </row>
    <row r="47" ht="13.5">
      <c r="A47" s="93"/>
    </row>
    <row r="48" ht="13.5">
      <c r="A48" s="93" t="s">
        <v>199</v>
      </c>
    </row>
    <row r="49" ht="13.5">
      <c r="A49" s="93" t="s">
        <v>195</v>
      </c>
    </row>
    <row r="50" ht="13.5">
      <c r="A50" s="93" t="s">
        <v>199</v>
      </c>
    </row>
    <row r="51" ht="13.5">
      <c r="A51" s="93"/>
    </row>
    <row r="52" ht="13.5">
      <c r="A52" s="93" t="str">
        <f>CONCATENATE('NIDS DNS table'!$B$20,".",REPT(" ",$B$1-LEN('NIDS DNS table'!$B$20)),"IN    A    ",'NIDS DNS table'!$C$20)</f>
        <v>red-aMAIN-STCA.name.cisco.com.       IN    A    10.10.120.12</v>
      </c>
    </row>
    <row r="53" ht="13.5">
      <c r="A53" s="93" t="str">
        <f>CONCATENATE(REPT(" ",$B$1+1),"IN    A    ",'NIDS DNS table'!$C$21)</f>
        <v>                                     IN    A    10.10.121.12</v>
      </c>
    </row>
    <row r="54" ht="13.5">
      <c r="A54" s="93" t="str">
        <f>CONCATENATE('NIDS DNS table'!$B$22,".",REPT(" ",$B$1-LEN('NIDS DNS table'!$B$22)),"IN    A    ",'NIDS DNS table'!$C$22)</f>
        <v>red-bMAIN-STCA.name.cisco.com.       IN    A    10.10.120.13</v>
      </c>
    </row>
    <row r="55" ht="13.5">
      <c r="A55" s="93" t="str">
        <f>CONCATENATE(REPT(" ",$B$1+1),"IN    A    ",'NIDS DNS table'!$C$23)</f>
        <v>                                     IN    A    10.10.121.13</v>
      </c>
    </row>
    <row r="56" ht="13.5">
      <c r="A56" s="93" t="str">
        <f>CONCATENATE('NIDS DNS table'!$B$24,".",REPT(" ",$B$1-LEN('NIDS DNS table'!$B$24)),"IN    A    ",'NIDS DNS table'!$C$24)</f>
        <v>red-aMAIN-STAIN.name.cisco.com.      IN    A    10.10.120.12</v>
      </c>
    </row>
    <row r="57" ht="13.5">
      <c r="A57" s="93" t="str">
        <f>CONCATENATE(REPT(" ",$B$1+1),"IN    A    ",'NIDS DNS table'!$C$25)</f>
        <v>                                     IN    A    10.10.121.12</v>
      </c>
    </row>
    <row r="58" ht="13.5">
      <c r="A58" s="93" t="str">
        <f>CONCATENATE('NIDS DNS table'!$B$26,".",REPT(" ",$B$1-LEN('NIDS DNS table'!$B$26)),"IN    A    ",'NIDS DNS table'!$C$26)</f>
        <v>red-bMAIN-STAIN.name.cisco.com.      IN    A    10.10.120.13</v>
      </c>
    </row>
    <row r="59" ht="13.5">
      <c r="A59" s="93" t="str">
        <f>CONCATENATE(REPT(" ",$B$1+1),"IN    A    ",'NIDS DNS table'!$C$27)</f>
        <v>                                     IN    A    10.10.121.13</v>
      </c>
    </row>
    <row r="60" ht="13.5">
      <c r="A60" s="93" t="str">
        <f>CONCATENATE('NIDS DNS table'!$B$28,".",REPT(" ",$B$1-LEN('NIDS DNS table'!$B$28)),"IN    A    ",'NIDS DNS table'!$C$28)</f>
        <v>red-aMAIN-STPTC.name.cisco.com.      IN    A    10.10.120.12</v>
      </c>
    </row>
    <row r="61" ht="13.5">
      <c r="A61" s="93" t="str">
        <f>CONCATENATE(REPT(" ",$B$1+1),"IN    A    ",'NIDS DNS table'!$C$29)</f>
        <v>                                     IN    A    10.10.121.12</v>
      </c>
    </row>
    <row r="62" ht="13.5">
      <c r="A62" s="93" t="str">
        <f>CONCATENATE('NIDS DNS table'!$B$30,".",REPT(" ",$B$1-LEN('NIDS DNS table'!$B$30)),"IN    A    ",'NIDS DNS table'!$C$30)</f>
        <v>red-bMAIN-STPTC.name.cisco.com.      IN    A    10.10.120.13</v>
      </c>
    </row>
    <row r="63" ht="13.5">
      <c r="A63" s="93" t="str">
        <f>CONCATENATE(REPT(" ",$B$1+1),"IN    A    ",'NIDS DNS table'!$C$31)</f>
        <v>                                     IN    A    10.10.121.13</v>
      </c>
    </row>
    <row r="64" ht="13.5">
      <c r="A64" s="93" t="str">
        <f>CONCATENATE('NIDS DNS table'!$B$32,".",REPT(" ",$B$1-LEN('NIDS DNS table'!$B$32)),"IN    A    ",'NIDS DNS table'!$C$32)</f>
        <v>red-aMAIN-STEMS.name.cisco.com.      IN    A    10.10.122.10</v>
      </c>
    </row>
    <row r="65" ht="13.5">
      <c r="A65" s="93" t="str">
        <f>CONCATENATE(REPT(" ",$B$1+1),"IN    A    ",'NIDS DNS table'!$C$33)</f>
        <v>                                     IN    A    10.10.123.10</v>
      </c>
    </row>
    <row r="66" ht="13.5">
      <c r="A66" s="93" t="str">
        <f>CONCATENATE('NIDS DNS table'!$B$34,".",REPT(" ",$B$1-LEN('NIDS DNS table'!$B$34)),"IN    A    ",'NIDS DNS table'!$C$34)</f>
        <v>red-bMAIN-STEMS.name.cisco.com.      IN    A    10.10.122.11</v>
      </c>
    </row>
    <row r="67" ht="13.5">
      <c r="A67" s="93" t="str">
        <f>CONCATENATE(REPT(" ",$B$1+1),"IN    A    ",'NIDS DNS table'!$C$35)</f>
        <v>                                     IN    A    10.10.123.11</v>
      </c>
    </row>
    <row r="68" ht="13.5">
      <c r="A68" s="93" t="str">
        <f>CONCATENATE('NIDS DNS table'!$B$36,".",REPT(" ",$B$1-LEN('NIDS DNS table'!$B$36)),"IN    A    ",'NIDS DNS table'!$C$36)</f>
        <v>blg-aMAIN-STEMS.name.cisco.com.      IN    A    10.10.122.10</v>
      </c>
    </row>
    <row r="69" ht="13.5">
      <c r="A69" s="93" t="str">
        <f>CONCATENATE(REPT(" ",$B$1+1),"IN    A    ",'NIDS DNS table'!$C$37)</f>
        <v>                                     IN    A    10.10.123.10</v>
      </c>
    </row>
    <row r="70" ht="13.5">
      <c r="A70" s="93" t="str">
        <f>CONCATENATE('NIDS DNS table'!$B$38,".",REPT(" ",$B$1-LEN('NIDS DNS table'!$B$38)),"IN    A    ",'NIDS DNS table'!$C$38)</f>
        <v>blg-bMAIN-STEMS.name.cisco.com.      IN    A    10.10.122.11</v>
      </c>
    </row>
    <row r="71" ht="13.5">
      <c r="A71" s="93" t="str">
        <f>CONCATENATE(REPT(" ",$B$1+1),"IN    A    ",'NIDS DNS table'!$C$39)</f>
        <v>                                     IN    A    10.10.123.11</v>
      </c>
    </row>
    <row r="72" ht="13.5">
      <c r="A72" s="93" t="str">
        <f>CONCATENATE('NIDS DNS table'!$B$40,".",REPT(" ",$B$1-LEN('NIDS DNS table'!$B$40)),"IN    A    ",'NIDS DNS table'!$C$40)</f>
        <v>blg-aMAIN-STCA.name.cisco.com.       IN    A    10.10.122.12</v>
      </c>
    </row>
    <row r="73" ht="13.5">
      <c r="A73" s="93" t="str">
        <f>CONCATENATE(REPT(" ",$B$1+1),"IN    A    ",'NIDS DNS table'!$C$41)</f>
        <v>                                     IN    A    10.10.123.12</v>
      </c>
    </row>
    <row r="74" ht="13.5">
      <c r="A74" s="93" t="str">
        <f>CONCATENATE('NIDS DNS table'!$B$42,".",REPT(" ",$B$1-LEN('NIDS DNS table'!$B$42)),"IN    A    ",'NIDS DNS table'!$C$42)</f>
        <v>blg-bMAIN-STCA.name.cisco.com.       IN    A    10.10.122.13</v>
      </c>
    </row>
    <row r="75" ht="13.5">
      <c r="A75" s="93" t="str">
        <f>CONCATENATE(REPT(" ",$B$1+1),"IN    A    ",'NIDS DNS table'!$C$43)</f>
        <v>                                     IN    A    10.10.123.13</v>
      </c>
    </row>
    <row r="76" ht="13.5">
      <c r="A76" s="93" t="str">
        <f>CONCATENATE('NIDS DNS table'!$B$44,".",REPT(" ",$B$1-LEN('NIDS DNS table'!$B$44)),"IN    A    ",'NIDS DNS table'!$C$44)</f>
        <v>sia-MAIN-STCA.name.cisco.com.        IN    A    10.89.225.12</v>
      </c>
    </row>
    <row r="77" ht="13.5">
      <c r="A77" s="93" t="str">
        <f>CONCATENATE(REPT(" ",$B$1+1),"IN    A    ",'NIDS DNS table'!$C$45)</f>
        <v>                                     IN    A    10.89.226.12</v>
      </c>
    </row>
    <row r="78" ht="13.5">
      <c r="A78" s="93" t="str">
        <f>CONCATENATE(REPT(" ",$B$1+1),"IN    A    ",'NIDS DNS table'!$C$46)</f>
        <v>                                     IN    A    10.89.225.13</v>
      </c>
    </row>
    <row r="79" ht="13.5">
      <c r="A79" s="93" t="str">
        <f>CONCATENATE(REPT(" ",$B$1+1),"IN    A    ",'NIDS DNS table'!$C$47)</f>
        <v>                                     IN    A    10.89.226.13</v>
      </c>
    </row>
    <row r="80" ht="13.5">
      <c r="A80" s="93" t="str">
        <f>CONCATENATE('NIDS DNS table'!$B$48,".",REPT(" ",$B$1-LEN('NIDS DNS table'!$B$48)),"IN    A    ",'NIDS DNS table'!$C$48)</f>
        <v>mgcp-MAIN-STCA146.name.cisco.com.    IN    A    10.89.225.14</v>
      </c>
    </row>
    <row r="81" ht="13.5">
      <c r="A81" s="93" t="str">
        <f>CONCATENATE(REPT(" ",$B$1+1),"IN    A    ",'NIDS DNS table'!$C$49)</f>
        <v>                                     IN    A    10.89.226.14</v>
      </c>
    </row>
    <row r="82" ht="13.5">
      <c r="A82" s="93" t="str">
        <f>CONCATENATE('NIDS DNS table'!$B$50,".",REPT(" ",$B$1-LEN('NIDS DNS table'!$B$50)),"IN    A    ",'NIDS DNS table'!$C$50)</f>
        <v>crit-aMAIN-STCA.name.cisco.com.      IN    A    10.89.225.12</v>
      </c>
    </row>
    <row r="83" ht="13.5">
      <c r="A83" s="93" t="str">
        <f>CONCATENATE(REPT(" ",$B$1+1),"IN    A    ",'NIDS DNS table'!$C$51)</f>
        <v>                                     IN    A    10.89.226.12</v>
      </c>
    </row>
    <row r="84" ht="13.5">
      <c r="A84" s="93" t="str">
        <f>CONCATENATE('NIDS DNS table'!$B$52,".",REPT(" ",$B$1-LEN('NIDS DNS table'!$B$52)),"IN    A    ",'NIDS DNS table'!$C$52)</f>
        <v>crit-bMAIN-STCA.name.cisco.com.      IN    A    10.89.225.13</v>
      </c>
    </row>
    <row r="85" ht="13.5">
      <c r="A85" s="93" t="str">
        <f>CONCATENATE(REPT(" ",$B$1+1),"IN    A    ",'NIDS DNS table'!$C$53)</f>
        <v>                                     IN    A    10.89.226.13</v>
      </c>
    </row>
    <row r="86" ht="13.5">
      <c r="A86" s="93" t="str">
        <f>CONCATENATE('NIDS DNS table'!$B$54,".",REPT(" ",$B$1-LEN('NIDS DNS table'!$B$54)),"IN    A    ",'NIDS DNS table'!$C$54)</f>
        <v>sia-MAIN-STCA.name.cisco.com.        IN    A    10.89.225.12</v>
      </c>
    </row>
    <row r="87" ht="13.5">
      <c r="A87" s="93" t="str">
        <f>CONCATENATE(REPT(" ",$B$1+1),"IN    A    ",'NIDS DNS table'!$C$55)</f>
        <v>                                     IN    A    10.89.226.12</v>
      </c>
    </row>
    <row r="88" ht="13.5">
      <c r="A88" s="93" t="str">
        <f>CONCATENATE(REPT(" ",$B$1+1),"IN    A    ",'NIDS DNS table'!$C$56)</f>
        <v>                                     IN    A    10.89.225.13</v>
      </c>
    </row>
    <row r="89" ht="13.5">
      <c r="A89" s="93" t="str">
        <f>CONCATENATE(REPT(" ",$B$1+1),"IN    A    ",'NIDS DNS table'!$C$57)</f>
        <v>                                     IN    A    10.89.226.13</v>
      </c>
    </row>
    <row r="90" ht="13.5">
      <c r="A90" s="93" t="str">
        <f>CONCATENATE('NIDS DNS table'!$B$58,".",REPT(" ",$B$1-LEN('NIDS DNS table'!$B$58)),"IN    A    ",'NIDS DNS table'!$C$58)</f>
        <v>sia-MAIN-STCA146.name.cisco.com.     IN    A    10.89.225.16</v>
      </c>
    </row>
    <row r="91" ht="13.5">
      <c r="A91" s="93" t="str">
        <f>CONCATENATE(REPT(" ",$B$1+1),"IN    A    ",'NIDS DNS table'!$C$59)</f>
        <v>                                     IN    A    10.89.226.16</v>
      </c>
    </row>
    <row r="92" ht="13.5">
      <c r="A92" s="93" t="str">
        <f>IF('NIDS Data Entry + Netwk tables'!$C$44="y",CONCATENATE('NIDS DNS table'!$B$60,".",REPT(" ",$B$1-LEN('NIDS DNS table'!$B$60)),"IN    A    ",'NIDS DNS table'!$C$60),"")</f>
        <v>h3a-MAIN-STCA146.name.cisco.com.     IN    A    10.89.225.17</v>
      </c>
    </row>
    <row r="93" ht="13.5">
      <c r="A93" s="93" t="str">
        <f>IF('NIDS Data Entry + Netwk tables'!$C$44="y",CONCATENATE(REPT(" ",$B$1+1),"IN    A    ",'NIDS DNS table'!$C$61),"")</f>
        <v>                                     IN    A    10.89.226.17</v>
      </c>
    </row>
    <row r="94" ht="13.5">
      <c r="A94" s="93" t="str">
        <f>CONCATENATE('NIDS DNS table'!$B$62,".",REPT(" ",$B$1-LEN('NIDS DNS table'!$B$62)),"IN    A    ",'NIDS DNS table'!$C$62)</f>
        <v>sim-MAIN-STCA146.name.cisco.com.     IN    A    10.10.124.146</v>
      </c>
    </row>
    <row r="95" ht="13.5">
      <c r="A95" s="93" t="str">
        <f>CONCATENATE(REPT(" ",$B$1+1),"IN    A    ",'NIDS DNS table'!$C$63)</f>
        <v>                                     IN    A    10.10.125.146</v>
      </c>
    </row>
    <row r="96" ht="13.5">
      <c r="A96" s="93" t="str">
        <f>CONCATENATE('NIDS DNS table'!$B$64,".",REPT(" ",$B$1-LEN('NIDS DNS table'!$B$64)),"IN    A    ",'NIDS DNS table'!$C$64)</f>
        <v>anm-aMAIN-STCA.name.cisco.com.       IN    A    10.89.225.12</v>
      </c>
    </row>
    <row r="97" ht="13.5">
      <c r="A97" s="93" t="str">
        <f>CONCATENATE(REPT(" ",$B$1+1),"IN    A    ",'NIDS DNS table'!$C$65)</f>
        <v>                                     IN    A    10.89.226.12</v>
      </c>
    </row>
    <row r="98" ht="13.5">
      <c r="A98" s="93" t="str">
        <f>CONCATENATE('NIDS DNS table'!$B$66,".",REPT(" ",$B$1-LEN('NIDS DNS table'!$B$66)),"IN    A    ",'NIDS DNS table'!$C$66)</f>
        <v>anm-bMAIN-STCA.name.cisco.com.       IN    A    10.89.225.13</v>
      </c>
    </row>
    <row r="99" ht="13.5">
      <c r="A99" s="93" t="str">
        <f>CONCATENATE(REPT(" ",$B$1+1),"IN    A    ",'NIDS DNS table'!$C$67)</f>
        <v>                                     IN    A    10.89.226.13</v>
      </c>
    </row>
    <row r="100" ht="13.5">
      <c r="A100" s="93" t="str">
        <f>CONCATENATE('NIDS DNS table'!$B$68,".",REPT(" ",$B$1-LEN('NIDS DNS table'!$B$68)),"IN    A    ",'NIDS DNS table'!$C$68)</f>
        <v>sga-aMAIN-STCA.name.cisco.com.       IN    A    10.89.225.12</v>
      </c>
    </row>
    <row r="101" ht="13.5">
      <c r="A101" s="93" t="str">
        <f>CONCATENATE(REPT(" ",$B$1+1),"IN    A    ",'NIDS DNS table'!$C$69)</f>
        <v>                                     IN    A    10.89.226.12</v>
      </c>
    </row>
    <row r="102" ht="13.5">
      <c r="A102" s="93" t="str">
        <f>CONCATENATE('NIDS DNS table'!$B$70,".",REPT(" ",$B$1-LEN('NIDS DNS table'!$B$70)),"IN    A    ",'NIDS DNS table'!$C$70)</f>
        <v>sga-bMAIN-STCA.name.cisco.com.       IN    A    10.89.225.13</v>
      </c>
    </row>
    <row r="103" ht="13.5">
      <c r="A103" s="93" t="str">
        <f>CONCATENATE(REPT(" ",$B$1+1),"IN    A    ",'NIDS DNS table'!$C$71)</f>
        <v>                                     IN    A    10.89.226.13</v>
      </c>
    </row>
    <row r="104" ht="13.5">
      <c r="A104" s="93" t="str">
        <f>CONCATENATE('NIDS DNS table'!$B$72,".",REPT(" ",$B$1-LEN('NIDS DNS table'!$B$72)),"IN    A    ",'NIDS DNS table'!$C$72)</f>
        <v>bsm-a1MAIN-STCA.name.cisco.com.      IN    A    10.89.225.12</v>
      </c>
    </row>
    <row r="105" ht="13.5">
      <c r="A105" s="93" t="str">
        <f>CONCATENATE('NIDS DNS table'!$B$73,".",REPT(" ",$B$1-LEN('NIDS DNS table'!$B$73)),"IN    A    ",'NIDS DNS table'!$C$73)</f>
        <v>bsm-a2MAIN-STCA.name.cisco.com.      IN    A    10.89.226.12</v>
      </c>
    </row>
    <row r="106" ht="13.5">
      <c r="A106" s="93" t="str">
        <f>CONCATENATE('NIDS DNS table'!$B$74,".",REPT(" ",$B$1-LEN('NIDS DNS table'!$B$74)),"IN    A    ",'NIDS DNS table'!$C$74)</f>
        <v>bsm-b1MAIN-STCA.name.cisco.com.      IN    A    10.89.225.13</v>
      </c>
    </row>
    <row r="107" ht="13.5">
      <c r="A107" s="93" t="str">
        <f>CONCATENATE('NIDS DNS table'!$B$75,".",REPT(" ",$B$1-LEN('NIDS DNS table'!$B$75)),"IN    A    ",'NIDS DNS table'!$C$75)</f>
        <v>bsm-b2MAIN-STCA.name.cisco.com.      IN    A    10.89.226.13</v>
      </c>
    </row>
    <row r="108" ht="13.5">
      <c r="A108" s="93" t="str">
        <f>CONCATENATE('NIDS DNS table'!$B$76,".",REPT(" ",$B$1-LEN('NIDS DNS table'!$B$76)),"IN    A    ",'NIDS DNS table'!$C$76)</f>
        <v>asm-MAIN-STAIN205.name.cisco.com.    IN    A    10.10.124.205</v>
      </c>
    </row>
    <row r="109" ht="13.5">
      <c r="A109" s="93" t="str">
        <f>CONCATENATE(REPT(" ",$B$1+1),"IN    A    ",'NIDS DNS table'!$C$77)</f>
        <v>                                     IN    A    10.10.125.205</v>
      </c>
    </row>
    <row r="110" ht="13.5">
      <c r="A110" s="93" t="str">
        <f>CONCATENATE('NIDS DNS table'!$B$78,".",REPT(" ",$B$1-LEN('NIDS DNS table'!$B$78)),"IN    A    ",'NIDS DNS table'!$C$78)</f>
        <v>crit-aMAIN-STAIN.name.cisco.com.     IN    A    10.89.225.12</v>
      </c>
    </row>
    <row r="111" ht="13.5">
      <c r="A111" s="93" t="str">
        <f>CONCATENATE(REPT(" ",$B$1+1),"IN    A    ",'NIDS DNS table'!$C$79)</f>
        <v>                                     IN    A    10.89.226.12</v>
      </c>
    </row>
    <row r="112" ht="13.5">
      <c r="A112" s="93" t="str">
        <f>CONCATENATE('NIDS DNS table'!$B$80,".",REPT(" ",$B$1-LEN('NIDS DNS table'!$B$80)),"IN    A    ",'NIDS DNS table'!$C$80)</f>
        <v>crit-bMAIN-STAIN.name.cisco.com.     IN    A    10.89.225.13</v>
      </c>
    </row>
    <row r="113" ht="13.5">
      <c r="A113" s="93" t="str">
        <f>CONCATENATE(REPT(" ",$B$1+1),"IN    A    ",'NIDS DNS table'!$C$81)</f>
        <v>                                     IN    A    10.89.226.13</v>
      </c>
    </row>
    <row r="114" ht="13.5">
      <c r="A114" s="93" t="str">
        <f>CONCATENATE('NIDS DNS table'!$B$82,".",REPT(" ",$B$1-LEN('NIDS DNS table'!$B$82)),"IN    A    ",'NIDS DNS table'!$C$82)</f>
        <v>sgw-aMAIN-STAIN.name.cisco.com.      IN    A    10.89.225.12</v>
      </c>
    </row>
    <row r="115" ht="13.5">
      <c r="A115" s="93" t="str">
        <f>CONCATENATE(REPT(" ",$B$1+1),"IN    A    ",'NIDS DNS table'!$C$83)</f>
        <v>                                     IN    A    10.89.226.12</v>
      </c>
    </row>
    <row r="116" ht="13.5">
      <c r="A116" s="93" t="str">
        <f>CONCATENATE('NIDS DNS table'!$B$84,".",REPT(" ",$B$1-LEN('NIDS DNS table'!$B$84)),"IN    A    ",'NIDS DNS table'!$C$84)</f>
        <v>sgw-bMAIN-STAIN.name.cisco.com.      IN    A    10.89.225.13</v>
      </c>
    </row>
    <row r="117" ht="13.5">
      <c r="A117" s="93" t="str">
        <f>CONCATENATE(REPT(" ",$B$1+1),"IN    A    ",'NIDS DNS table'!$C$85)</f>
        <v>                                     IN    A    10.89.226.13</v>
      </c>
    </row>
    <row r="118" ht="13.5">
      <c r="A118" s="93" t="str">
        <f>CONCATENATE('NIDS DNS table'!$B$86,".",REPT(" ",$B$1-LEN('NIDS DNS table'!$B$86)),"IN    A    ",'NIDS DNS table'!$C$86)</f>
        <v>pots-MAIN-STPTC235.name.cisco.com.   IN    A    10.10.124.235</v>
      </c>
    </row>
    <row r="119" ht="13.5">
      <c r="A119" s="93" t="str">
        <f>CONCATENATE(REPT(" ",$B$1+1),"IN    A    ",'NIDS DNS table'!$C$87)</f>
        <v>                                     IN    A    10.10.125.235</v>
      </c>
    </row>
    <row r="120" ht="13.5">
      <c r="A120" s="93" t="str">
        <f>CONCATENATE('NIDS DNS table'!$B$88,".",REPT(" ",$B$1-LEN('NIDS DNS table'!$B$88)),"IN    A    ",'NIDS DNS table'!$C$88)</f>
        <v>crit-aMAIN-STPTC.name.cisco.com.     IN    A    10.89.225.12</v>
      </c>
    </row>
    <row r="121" ht="13.5">
      <c r="A121" s="93" t="str">
        <f>CONCATENATE(REPT(" ",$B$1+1),"IN    A    ",'NIDS DNS table'!$C$89)</f>
        <v>                                     IN    A    10.89.226.12</v>
      </c>
    </row>
    <row r="122" ht="13.5">
      <c r="A122" s="93" t="str">
        <f>CONCATENATE('NIDS DNS table'!$B$90,".",REPT(" ",$B$1-LEN('NIDS DNS table'!$B$90)),"IN    A    ",'NIDS DNS table'!$C$90)</f>
        <v>crit-bMAIN-STPTC.name.cisco.com.     IN    A    10.89.225.13</v>
      </c>
    </row>
    <row r="123" ht="13.5">
      <c r="A123" s="93" t="str">
        <f>CONCATENATE(REPT(" ",$B$1+1),"IN    A    ",'NIDS DNS table'!$C$91)</f>
        <v>                                     IN    A    10.89.226.13</v>
      </c>
    </row>
    <row r="124" ht="13.5">
      <c r="A124" s="93" t="str">
        <f>CONCATENATE('NIDS DNS table'!$B$92,".",REPT(" ",$B$1-LEN('NIDS DNS table'!$B$92)),"IN    A    ",'NIDS DNS table'!$C$92)</f>
        <v>sgw-aMAIN-STPTC.name.cisco.com.      IN    A    10.89.225.12</v>
      </c>
    </row>
    <row r="125" ht="13.5">
      <c r="A125" s="93" t="str">
        <f>CONCATENATE(REPT(" ",$B$1+1),"IN    A    ",'NIDS DNS table'!$C$93)</f>
        <v>                                     IN    A    10.89.226.12</v>
      </c>
    </row>
    <row r="126" ht="13.5">
      <c r="A126" s="93" t="str">
        <f>CONCATENATE('NIDS DNS table'!$B$94,".",REPT(" ",$B$1-LEN('NIDS DNS table'!$B$94)),"IN    A    ",'NIDS DNS table'!$C$94)</f>
        <v>sgw-bMAIN-STPTC.name.cisco.com.      IN    A    10.89.225.13</v>
      </c>
    </row>
    <row r="127" ht="13.5">
      <c r="A127" s="93" t="str">
        <f>CONCATENATE(REPT(" ",$B$1+1),"IN    A    ",'NIDS DNS table'!$C$95)</f>
        <v>                                     IN    A    10.89.226.13</v>
      </c>
    </row>
    <row r="128" ht="13.5">
      <c r="A128" s="93" t="str">
        <f>CONCATENATE('NIDS DNS table'!$B$96,".",REPT(" ",$B$1-LEN('NIDS DNS table'!$B$96)),"IN    A    ",'NIDS DNS table'!$C$96)</f>
        <v>gfs-MAIN-STPTC235.name.cisco.com.    IN    A    10.89.225.15</v>
      </c>
    </row>
    <row r="129" ht="13.5">
      <c r="A129" s="93" t="str">
        <f>CONCATENATE(REPT(" ",$B$1+1),"IN    A    ",'NIDS DNS table'!$C$97)</f>
        <v>                                     IN    A    10.89.226.15</v>
      </c>
    </row>
    <row r="130" ht="13.5">
      <c r="A130" s="93" t="str">
        <f>CONCATENATE('NIDS DNS table'!$B$98,".",REPT(" ",$B$1-LEN('NIDS DNS table'!$B$98)),"IN    A    ",'NIDS DNS table'!$C$98)</f>
        <v>crit-aMAIN-STEMS.name.cisco.com.     IN    A    10.89.223.10</v>
      </c>
    </row>
    <row r="131" ht="13.5">
      <c r="A131" s="93" t="str">
        <f>CONCATENATE(REPT(" ",$B$1+1),"IN    A    ",'NIDS DNS table'!$C$99)</f>
        <v>                                     IN    A    10.89.224.10</v>
      </c>
    </row>
    <row r="132" ht="13.5">
      <c r="A132" s="93" t="str">
        <f>CONCATENATE('NIDS DNS table'!$B$100,".",REPT(" ",$B$1-LEN('NIDS DNS table'!$B$100)),"IN    A    ",'NIDS DNS table'!$C$100)</f>
        <v>crit-bMAIN-STEMS.name.cisco.com.     IN    A    10.89.223.11</v>
      </c>
    </row>
    <row r="133" ht="13.5">
      <c r="A133" s="93" t="str">
        <f>CONCATENATE(REPT(" ",$B$1+1),"IN    A    ",'NIDS DNS table'!$C$101)</f>
        <v>                                     IN    A    10.89.224.11</v>
      </c>
    </row>
    <row r="134" ht="13.5">
      <c r="A134" s="93" t="str">
        <f>CONCATENATE('NIDS DNS table'!$B$102,".",REPT(" ",$B$1-LEN('NIDS DNS table'!$B$102)),"IN    A    ",'NIDS DNS table'!$C$102)</f>
        <v>oms-aMAIN-STCA.name.cisco.com.       IN    A    10.10.122.12</v>
      </c>
    </row>
    <row r="135" ht="13.5">
      <c r="A135" s="93" t="str">
        <f>CONCATENATE(REPT(" ",$B$1+1),"IN    A    ",'NIDS DNS table'!$C$103)</f>
        <v>                                     IN    A    10.10.123.12</v>
      </c>
    </row>
    <row r="136" ht="13.5">
      <c r="A136" s="93" t="str">
        <f>CONCATENATE('NIDS DNS table'!$B$104,".",REPT(" ",$B$1-LEN('NIDS DNS table'!$B$104)),"IN    A    ",'NIDS DNS table'!$C$104)</f>
        <v>oms-bMAIN-STCA.name.cisco.com.       IN    A    10.10.122.13</v>
      </c>
    </row>
    <row r="137" ht="13.5">
      <c r="A137" s="93" t="str">
        <f>CONCATENATE(REPT(" ",$B$1+1),"IN    A    ",'NIDS DNS table'!$C$105)</f>
        <v>                                     IN    A    10.10.123.13</v>
      </c>
    </row>
    <row r="138" ht="13.5">
      <c r="A138" s="93" t="str">
        <f>CONCATENATE('NIDS DNS table'!$B$106,".",REPT(" ",$B$1-LEN('NIDS DNS table'!$B$106)),"IN    A    ",'NIDS DNS table'!$C$106)</f>
        <v>oms-aMAIN-STAIN.name.cisco.com.      IN    A    10.10.122.12</v>
      </c>
    </row>
    <row r="139" ht="13.5">
      <c r="A139" s="93" t="str">
        <f>CONCATENATE(REPT(" ",$B$1+1),"IN    A    ",'NIDS DNS table'!$C$107)</f>
        <v>                                     IN    A    10.10.123.12</v>
      </c>
    </row>
    <row r="140" ht="13.5">
      <c r="A140" s="93" t="str">
        <f>CONCATENATE('NIDS DNS table'!$B$108,".",REPT(" ",$B$1-LEN('NIDS DNS table'!$B$108)),"IN    A    ",'NIDS DNS table'!$C$108)</f>
        <v>oms-bMAIN-STAIN.name.cisco.com.      IN    A    10.10.122.13</v>
      </c>
    </row>
    <row r="141" ht="13.5">
      <c r="A141" s="93" t="str">
        <f>CONCATENATE(REPT(" ",$B$1+1),"IN    A    ",'NIDS DNS table'!$C$109)</f>
        <v>                                     IN    A    10.10.123.13</v>
      </c>
    </row>
    <row r="142" ht="13.5">
      <c r="A142" s="93" t="str">
        <f>CONCATENATE('NIDS DNS table'!$B$110,".",REPT(" ",$B$1-LEN('NIDS DNS table'!$B$110)),"IN    A    ",'NIDS DNS table'!$C$110)</f>
        <v>oms-aMAIN-STPTC.name.cisco.com.      IN    A    10.10.122.12</v>
      </c>
    </row>
    <row r="143" ht="13.5">
      <c r="A143" s="93" t="str">
        <f>CONCATENATE(REPT(" ",$B$1+1),"IN    A    ",'NIDS DNS table'!$C$111)</f>
        <v>                                     IN    A    10.10.123.12</v>
      </c>
    </row>
    <row r="144" ht="13.5">
      <c r="A144" s="93" t="str">
        <f>CONCATENATE('NIDS DNS table'!$B$112,".",REPT(" ",$B$1-LEN('NIDS DNS table'!$B$112)),"IN    A    ",'NIDS DNS table'!$C$112)</f>
        <v>oms-bMAIN-STPTC.name.cisco.com.      IN    A    10.10.122.13</v>
      </c>
    </row>
    <row r="145" ht="13.5">
      <c r="A145" s="93" t="str">
        <f>CONCATENATE(REPT(" ",$B$1+1),"IN    A    ",'NIDS DNS table'!$C$113)</f>
        <v>                                     IN    A    10.10.123.13</v>
      </c>
    </row>
    <row r="146" ht="13.5">
      <c r="A146" s="93" t="str">
        <f>CONCATENATE('NIDS DNS table'!$B$114,".",REPT(" ",$B$1-LEN('NIDS DNS table'!$B$114)),"IN    A    ",'NIDS DNS table'!$C$114)</f>
        <v>oms-aMAIN-STEMS.name.cisco.com.      IN    A    10.10.122.10</v>
      </c>
    </row>
    <row r="147" ht="13.5">
      <c r="A147" s="93" t="str">
        <f>CONCATENATE(REPT(" ",$B$1+1),"IN    A    ",'NIDS DNS table'!$C$115)</f>
        <v>                                     IN    A    10.10.123.10</v>
      </c>
    </row>
    <row r="148" s="92" customFormat="1" ht="13.5">
      <c r="A148" s="93" t="str">
        <f>CONCATENATE('NIDS DNS table'!$B$116,".",REPT(" ",$B$1-LEN('NIDS DNS table'!$B$116)),"IN    A    ",'NIDS DNS table'!$C$116)</f>
        <v>oms-bMAIN-STEMS.name.cisco.com.      IN    A    10.10.122.11</v>
      </c>
    </row>
    <row r="149" s="92" customFormat="1" ht="13.5">
      <c r="A149" s="93" t="str">
        <f>CONCATENATE(REPT(" ",$B$1+1),"IN    A    ",'NIDS DNS table'!$C$117)</f>
        <v>                                     IN    A    10.10.123.11</v>
      </c>
    </row>
    <row r="150" s="92" customFormat="1" ht="13.5">
      <c r="A150" s="93" t="str">
        <f>CONCATENATE('NIDS DNS table'!$B$118,".",REPT(" ",$B$1-LEN('NIDS DNS table'!$B$118)),"IN    A    ",'NIDS DNS table'!$C$118)</f>
        <v>mdii-aMAIN-STEMS.name.cisco.com.     IN    A    10.10.122.10</v>
      </c>
    </row>
    <row r="151" s="92" customFormat="1" ht="13.5">
      <c r="A151" s="93" t="str">
        <f>CONCATENATE(REPT(" ",$B$1+1),"IN    A    ",'NIDS DNS table'!$C$119)</f>
        <v>                                     IN    A    10.10.123.10</v>
      </c>
    </row>
    <row r="152" s="92" customFormat="1" ht="13.5">
      <c r="A152" s="93" t="str">
        <f>CONCATENATE('NIDS DNS table'!$B$120,".",REPT(" ",$B$1-LEN('NIDS DNS table'!$B$120)),"IN    A    ",'NIDS DNS table'!$C$120)</f>
        <v>mdii-bMAIN-STEMS.name.cisco.com.     IN    A    10.10.122.11</v>
      </c>
    </row>
    <row r="153" s="92" customFormat="1" ht="13.5">
      <c r="A153" s="93" t="str">
        <f>CONCATENATE(REPT(" ",$B$1+1),"IN    A    ",'NIDS DNS table'!$C$121)</f>
        <v>                                     IN    A    10.10.123.11</v>
      </c>
    </row>
    <row r="154" s="92" customFormat="1" ht="13.5">
      <c r="A154" s="93" t="str">
        <f>CONCATENATE('NIDS DNS table'!$B$122,".",REPT(" ",$B$1-LEN('NIDS DNS table'!$B$122)),"IN    A    ",'NIDS DNS table'!$C$122)</f>
        <v>iua-aMAIN-STCA.name.cisco.com.       IN    A    10.89.225.12</v>
      </c>
    </row>
    <row r="155" s="92" customFormat="1" ht="13.5">
      <c r="A155" s="93" t="str">
        <f>CONCATENATE(REPT(" ",$B$1+1),"IN    A    ",'NIDS DNS table'!$C$123)</f>
        <v>                                     IN    A    10.89.226.12</v>
      </c>
    </row>
    <row r="156" s="92" customFormat="1" ht="13.5">
      <c r="A156" s="93" t="str">
        <f>CONCATENATE('NIDS DNS table'!$B$124,".",REPT(" ",$B$1-LEN('NIDS DNS table'!$B$124)),"IN    A    ",'NIDS DNS table'!$C$124)</f>
        <v>iua-bMAIN-STCA.name.cisco.com.       IN    A    10.89.225.13</v>
      </c>
    </row>
    <row r="157" s="92" customFormat="1" ht="13.5">
      <c r="A157" s="93" t="str">
        <f>CONCATENATE(REPT(" ",$B$1+1),"IN    A    ",'NIDS DNS table'!$C$125)</f>
        <v>                                     IN    A    10.89.226.13</v>
      </c>
    </row>
    <row r="158" s="92" customFormat="1" ht="13.5">
      <c r="A158" s="93"/>
    </row>
    <row r="159" s="92" customFormat="1" ht="13.5">
      <c r="A159" s="93" t="s">
        <v>199</v>
      </c>
    </row>
    <row r="160" s="92" customFormat="1" ht="13.5">
      <c r="A160" s="93" t="s">
        <v>197</v>
      </c>
    </row>
    <row r="161" ht="13.5">
      <c r="A161" s="93" t="s">
        <v>199</v>
      </c>
    </row>
    <row r="162" ht="12.75">
      <c r="A162" s="95"/>
    </row>
  </sheetData>
  <sheetProtection sheet="1" objects="1" scenarios="1"/>
  <printOptions/>
  <pageMargins left="0.75" right="0.75" top="0.74" bottom="0.58" header="0.5" footer="0.17"/>
  <pageSetup horizontalDpi="600" verticalDpi="600" orientation="portrait" r:id="rId1"/>
  <headerFooter alignWithMargins="0">
    <oddFooter>&amp;LCisco Systems, Inc. Confidential&amp;C&amp;A&amp;R&amp;D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Quinn (markquin)</dc:creator>
  <cp:keywords/>
  <dc:description/>
  <cp:lastModifiedBy>Cisco Systems, Inc.</cp:lastModifiedBy>
  <cp:lastPrinted>2006-08-22T20:38:43Z</cp:lastPrinted>
  <dcterms:created xsi:type="dcterms:W3CDTF">2004-09-10T18:44:44Z</dcterms:created>
  <dcterms:modified xsi:type="dcterms:W3CDTF">2007-08-01T20:27:54Z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-1594689508</vt:i4>
  </property>
  <property fmtid="{D5CDD505-2E9C-101B-9397-08002B2CF9AE}" pid="3" name="_NewReviewCycle">
    <vt:lpwstr/>
  </property>
  <property fmtid="{D5CDD505-2E9C-101B-9397-08002B2CF9AE}" pid="4" name="_EmailSubject">
    <vt:lpwstr>NIDS Generator tool updated to 4.4.0v05 and 4.4.1v03 (attached)</vt:lpwstr>
  </property>
  <property fmtid="{D5CDD505-2E9C-101B-9397-08002B2CF9AE}" pid="5" name="_AuthorEmail">
    <vt:lpwstr>markq@cisco.com</vt:lpwstr>
  </property>
  <property fmtid="{D5CDD505-2E9C-101B-9397-08002B2CF9AE}" pid="6" name="_AuthorEmailDisplayName">
    <vt:lpwstr>Mark Quinn (markq)</vt:lpwstr>
  </property>
  <property fmtid="{D5CDD505-2E9C-101B-9397-08002B2CF9AE}" pid="7" name="_ReviewingToolsShownOnce">
    <vt:lpwstr/>
  </property>
</Properties>
</file>