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890" windowHeight="8175" tabRatio="683" activeTab="1"/>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s>
  <commentList>
    <comment ref="C53" authorId="0">
      <text>
        <r>
          <rPr>
            <b/>
            <sz val="8"/>
            <rFont val="Tahoma"/>
            <family val="2"/>
          </rPr>
          <t>Parameter used by Feature Server AIN and POTS TSA process for IN-1/AIN0.1 Services.</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5"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sz val="8"/>
            <rFont val="Tahoma"/>
            <family val="2"/>
          </rPr>
          <t>Only "N" is allowed at this time.</t>
        </r>
      </text>
    </comment>
    <comment ref="C11" authorId="0">
      <text>
        <r>
          <rPr>
            <b/>
            <sz val="8"/>
            <rFont val="Tahoma"/>
            <family val="2"/>
          </rPr>
          <t>Identifies the installation.  Use an abbreviation of the company or site address or name (between 3 and 12 characters long).</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2" authorId="0">
      <text>
        <r>
          <rPr>
            <b/>
            <sz val="8"/>
            <rFont val="Tahoma"/>
            <family val="2"/>
          </rPr>
          <t>Hostname of the Alarm Panel if installed.</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 or IP address, of the secondary NTP time server if one exists.</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8" authorId="0">
      <text>
        <r>
          <rPr>
            <b/>
            <sz val="8"/>
            <rFont val="Tahoma"/>
            <family val="2"/>
          </rPr>
          <t>These are the DNS names which are used in platform.cfg file by pmg when DNS for RED ping fails. It helps pmg to determine the failure is on the local host or is on DNS server, so the pmg can take the correct action. This should be set in the DNS server to return IP addresses of the two routers in the EMS management network.</t>
        </r>
        <r>
          <rPr>
            <b/>
            <sz val="2"/>
            <rFont val="Tahoma"/>
            <family val="2"/>
          </rPr>
          <t xml:space="preserve">
</t>
        </r>
        <r>
          <rPr>
            <b/>
            <sz val="8"/>
            <rFont val="Tahoma"/>
            <family val="2"/>
          </rPr>
          <t>The name is defaulted to be "brokerems-&lt;site id&gt;.&lt;domain&gt;", but this may be overridden (overtyped) if your installation requires it.</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7" authorId="0">
      <text>
        <r>
          <rPr>
            <b/>
            <sz val="8"/>
            <rFont val="Tahoma"/>
            <family val="2"/>
          </rPr>
          <t>These are the DNS names which are used in platform.cfg file by pmg when DNS for RED ping fails. It helps pmg to determine the failure is on the local host or is on DNS server, so the pmg can take the correct action. This should be set in the DNS server to return IP addresses of the two routers in the EMS management network.</t>
        </r>
        <r>
          <rPr>
            <b/>
            <sz val="2"/>
            <rFont val="Tahoma"/>
            <family val="2"/>
          </rPr>
          <t xml:space="preserve">
</t>
        </r>
        <r>
          <rPr>
            <b/>
            <sz val="8"/>
            <rFont val="Tahoma"/>
            <family val="2"/>
          </rPr>
          <t>The name is defaulted to be "broker-&lt;site id&gt;.&lt;domain&gt;", but this may be overridden (overtyped) if your installation requires it.</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6" authorId="0">
      <text>
        <r>
          <rPr>
            <b/>
            <u val="single"/>
            <sz val="8"/>
            <rFont val="Tahoma"/>
            <family val="2"/>
          </rPr>
          <t>Application  Instance  Numbers</t>
        </r>
        <r>
          <rPr>
            <b/>
            <sz val="2"/>
            <rFont val="Tahoma"/>
            <family val="2"/>
          </rPr>
          <t xml:space="preserve">
</t>
        </r>
        <r>
          <rPr>
            <b/>
            <sz val="8"/>
            <rFont val="Tahoma"/>
            <family val="2"/>
          </rPr>
          <t>Enter the instance numbers for the CA, FSPTC and FSAIN. The default instances for the opticall.cfg file are CA=146, FSAIN=205 and FSPTC=235.  Modify these as necessary to match the instances required for your Cisco BTS 10200 Softswitch.</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sz val="8"/>
            <rFont val="Tahoma"/>
            <family val="2"/>
          </rPr>
          <t>This flag will guide installation process to enable or disable H.323 processes.</t>
        </r>
        <r>
          <rPr>
            <b/>
            <u val="single"/>
            <sz val="8"/>
            <rFont val="Tahoma"/>
            <family val="2"/>
          </rPr>
          <t xml:space="preserve">
</t>
        </r>
      </text>
    </comment>
    <comment ref="C47" authorId="0">
      <text>
        <r>
          <rPr>
            <b/>
            <sz val="8"/>
            <rFont val="Tahoma"/>
            <family val="2"/>
          </rPr>
          <t>This flag will guide installation process to enable or disable Domain Name Server process.  Use "y"  to use local cache for optimization during peak performance, "n" to ensure accuracy by using the external DNS server(s)</t>
        </r>
        <r>
          <rPr>
            <b/>
            <sz val="10"/>
            <rFont val="Tahoma"/>
            <family val="2"/>
          </rPr>
          <t xml:space="preserve">.  
</t>
        </r>
        <r>
          <rPr>
            <b/>
            <sz val="8"/>
            <rFont val="Tahoma"/>
            <family val="2"/>
          </rPr>
          <t>The UNIX process in.named configured as a local caching server only (non- authoritative mode) acts like a local DNS server. It has its own cache and obtains TTL from the actual network DNS server. It is only used in the T1 market; however, it is not currently recommended for use or enabled in the PacketCable environment due to the nature of DHCP usage. If you still have any concern, please contact TAC.</t>
        </r>
      </text>
    </comment>
    <comment ref="C49"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50" authorId="0">
      <text>
        <r>
          <rPr>
            <b/>
            <sz val="8"/>
            <rFont val="Tahoma"/>
            <family val="2"/>
          </rPr>
          <t>This flag will enabled/disable the PacketCable Security feature.</t>
        </r>
      </text>
    </comment>
    <comment ref="C51" authorId="0">
      <text>
        <r>
          <rPr>
            <b/>
            <u val="single"/>
            <sz val="8"/>
            <rFont val="Tahoma"/>
            <family val="2"/>
          </rPr>
          <t>Guides the installation which mem.cfg to use:</t>
        </r>
        <r>
          <rPr>
            <b/>
            <u val="single"/>
            <sz val="3"/>
            <rFont val="Tahoma"/>
            <family val="2"/>
          </rPr>
          <t xml:space="preserve">
</t>
        </r>
        <r>
          <rPr>
            <b/>
            <sz val="3"/>
            <rFont val="Tahoma"/>
            <family val="2"/>
          </rPr>
          <t xml:space="preserve">
</t>
        </r>
        <r>
          <rPr>
            <b/>
            <sz val="8"/>
            <rFont val="Tahoma"/>
            <family val="0"/>
          </rPr>
          <t>The allowable values are "small", "medium4G", "medium", "demo", "router", "localLnp" and "localLnpRN"
 if the flag is "small", it will point to small size mem.cfg
 if the flag is "medium4G", it will point to medium size mem.cfg which requires 4G of memory
 if the flag is "medium", it will point to medium size mem.cfg which requires 8G of memory
 if the flag is "demo", it will use a mem.cfg for demo and lab use only
 if the flag is "router", it will use a mem.cfg for route server
 if the flag is "localLnp", it will use a mem.cfg which supports local LNP
 with onboard LNP database (DN2GN table)
 if the flag is "localLnpRN", it will use a mem.cfg which supports local LNP
 with onboard LNP database (DN2RN table)</t>
        </r>
      </text>
    </comment>
    <comment ref="C52" authorId="0">
      <text>
        <r>
          <rPr>
            <b/>
            <u val="single"/>
            <sz val="8"/>
            <rFont val="Tahoma"/>
            <family val="2"/>
          </rPr>
          <t>Five hardware configurations are supported:</t>
        </r>
        <r>
          <rPr>
            <b/>
            <sz val="2"/>
            <rFont val="Tahoma"/>
            <family val="2"/>
          </rPr>
          <t xml:space="preserve">
</t>
        </r>
        <r>
          <rPr>
            <b/>
            <sz val="8"/>
            <rFont val="Tahoma"/>
            <family val="2"/>
          </rPr>
          <t>1:   CA/FSAIN/FSPTC - on one host machine
      EM - on another host machine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Default is "1"</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43" authorId="0">
      <text>
        <r>
          <rPr>
            <b/>
            <sz val="8"/>
            <rFont val="Tahoma"/>
            <family val="2"/>
          </rPr>
          <t>IP Address of the Alarm Panel if installed.</t>
        </r>
      </text>
    </comment>
    <comment ref="C54" authorId="0">
      <text>
        <r>
          <rPr>
            <b/>
            <u val="single"/>
            <sz val="8"/>
            <rFont val="Tahoma"/>
            <family val="2"/>
          </rPr>
          <t>Application  Instance  Numbers</t>
        </r>
        <r>
          <rPr>
            <b/>
            <sz val="2"/>
            <rFont val="Tahoma"/>
            <family val="2"/>
          </rPr>
          <t xml:space="preserve">
</t>
        </r>
        <r>
          <rPr>
            <b/>
            <sz val="8"/>
            <rFont val="Tahoma"/>
            <family val="2"/>
          </rPr>
          <t>Enter the instance numbers for the CA, FSPTC and FSAIN. The default instances for the opticall.cfg file are CA=146, FSAIN=205 and FSPTC=235.  Modify these as necessary to match the instances required for your Cisco BTS 10200 Softswitch.</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5" authorId="0">
      <text>
        <r>
          <rPr>
            <b/>
            <u val="single"/>
            <sz val="8"/>
            <rFont val="Tahoma"/>
            <family val="2"/>
          </rPr>
          <t>Application  Instance  Numbers</t>
        </r>
        <r>
          <rPr>
            <b/>
            <sz val="2"/>
            <rFont val="Tahoma"/>
            <family val="2"/>
          </rPr>
          <t xml:space="preserve">
</t>
        </r>
        <r>
          <rPr>
            <b/>
            <sz val="8"/>
            <rFont val="Tahoma"/>
            <family val="2"/>
          </rPr>
          <t>Enter the instance numbers for the CA, FSPTC and FSAIN. The default instances for the opticall.cfg file are CA=146, FSAIN=205 and FSPTC=235.  Modify these as necessary to match the instances required for your Cisco BTS 10200 Softswitch.</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8"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4" authorId="0">
      <text>
        <r>
          <rPr>
            <b/>
            <sz val="8"/>
            <rFont val="Tahoma"/>
            <family val="2"/>
          </rPr>
          <t>Identifies the name of the external CallAgent trace log archive system.</t>
        </r>
      </text>
    </comment>
    <comment ref="C185" authorId="0">
      <text>
        <r>
          <rPr>
            <b/>
            <sz val="8"/>
            <rFont val="Tahoma"/>
            <family val="2"/>
          </rPr>
          <t>Full path name of the directory used to store the CallAgent trace  log files.</t>
        </r>
      </text>
    </comment>
    <comment ref="C186" authorId="0">
      <text>
        <r>
          <rPr>
            <b/>
            <sz val="8"/>
            <rFont val="Tahoma"/>
            <family val="2"/>
          </rPr>
          <t>This value presents the disk quota in Gigabytes reserved for the trace log files of the CallAgent on the archive system.</t>
        </r>
      </text>
    </comment>
    <comment ref="C188" authorId="0">
      <text>
        <r>
          <rPr>
            <b/>
            <sz val="8"/>
            <rFont val="Tahoma"/>
            <family val="2"/>
          </rPr>
          <t>Full path name of the directory used to store the FSPTC  trace log files.</t>
        </r>
      </text>
    </comment>
    <comment ref="C189" authorId="0">
      <text>
        <r>
          <rPr>
            <b/>
            <sz val="8"/>
            <rFont val="Tahoma"/>
            <family val="2"/>
          </rPr>
          <t>This value presents the disk quota in Gigabytes reserved for the FSPTC trace log files on the archive system.</t>
        </r>
      </text>
    </comment>
    <comment ref="C187" authorId="0">
      <text>
        <r>
          <rPr>
            <b/>
            <sz val="8"/>
            <rFont val="Tahoma"/>
            <family val="2"/>
          </rPr>
          <t>Identifies the name of the external FSPTC trace log archive system.</t>
        </r>
      </text>
    </comment>
    <comment ref="C191" authorId="0">
      <text>
        <r>
          <rPr>
            <b/>
            <sz val="8"/>
            <rFont val="Tahoma"/>
            <family val="2"/>
          </rPr>
          <t>Full path name of the directory used to store the FSAIN trace log files.</t>
        </r>
      </text>
    </comment>
    <comment ref="C192" authorId="0">
      <text>
        <r>
          <rPr>
            <b/>
            <sz val="8"/>
            <rFont val="Tahoma"/>
            <family val="2"/>
          </rPr>
          <t>This value presents the disk quota in Gigabytes reserved for the FSAIN trace log files on the archive system.</t>
        </r>
      </text>
    </comment>
    <comment ref="C190" authorId="0">
      <text>
        <r>
          <rPr>
            <b/>
            <sz val="8"/>
            <rFont val="Tahoma"/>
            <family val="2"/>
          </rPr>
          <t>Identifies the name of the external FSAIN trace log archive system.</t>
        </r>
      </text>
    </comment>
    <comment ref="C194" authorId="0">
      <text>
        <r>
          <rPr>
            <b/>
            <sz val="8"/>
            <rFont val="Tahoma"/>
            <family val="2"/>
          </rPr>
          <t>Full path name of the directory used to store the EMS trace  log files.</t>
        </r>
      </text>
    </comment>
    <comment ref="C195" authorId="0">
      <text>
        <r>
          <rPr>
            <b/>
            <sz val="8"/>
            <rFont val="Tahoma"/>
            <family val="2"/>
          </rPr>
          <t>This value presents the disk quota in Gigabytes reserved for the EMS trace log files on the archive system.</t>
        </r>
      </text>
    </comment>
    <comment ref="C193" authorId="0">
      <text>
        <r>
          <rPr>
            <b/>
            <sz val="8"/>
            <rFont val="Tahoma"/>
            <family val="2"/>
          </rPr>
          <t>Identifies the name of the external EMS tarce log archive system.</t>
        </r>
      </text>
    </comment>
    <comment ref="C197" authorId="0">
      <text>
        <r>
          <rPr>
            <b/>
            <sz val="8"/>
            <rFont val="Tahoma"/>
            <family val="2"/>
          </rPr>
          <t>Full path name of the directory used to store the BDMS trace log files.</t>
        </r>
      </text>
    </comment>
    <comment ref="C198" authorId="0">
      <text>
        <r>
          <rPr>
            <b/>
            <sz val="8"/>
            <rFont val="Tahoma"/>
            <family val="2"/>
          </rPr>
          <t>This value presents the disk quota in Gigabytes reserved for the BDMS trace log files on the archive system.</t>
        </r>
      </text>
    </comment>
    <comment ref="C196" authorId="0">
      <text>
        <r>
          <rPr>
            <b/>
            <sz val="8"/>
            <rFont val="Tahoma"/>
            <family val="2"/>
          </rPr>
          <t>Identifies the name of the external BDMS trace log archive system.</t>
        </r>
      </text>
    </comment>
    <comment ref="C183"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1"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List>
</comments>
</file>

<file path=xl/comments4.xml><?xml version="1.0" encoding="utf-8"?>
<comments xmlns="http://schemas.openxmlformats.org/spreadsheetml/2006/main">
  <authors>
    <author>Mark Quinn (markquin)</author>
  </authors>
  <commentList>
    <comment ref="C70" authorId="0">
      <text>
        <r>
          <rPr>
            <b/>
            <sz val="8"/>
            <rFont val="Tahoma"/>
            <family val="0"/>
          </rPr>
          <t xml:space="preserve">In this parameter and value, the number "xxx" (i.e. "PTCxxx") is the installation instance of the FS PTC.
</t>
        </r>
      </text>
    </comment>
    <comment ref="C50" authorId="0">
      <text>
        <r>
          <rPr>
            <b/>
            <sz val="8"/>
            <rFont val="Tahoma"/>
            <family val="0"/>
          </rPr>
          <t xml:space="preserve">In this parameter and value, the number "xxx" (i.e. "CAxxx") is the installation instance of the CA.
</t>
        </r>
      </text>
    </comment>
    <comment ref="C45" authorId="0">
      <text>
        <r>
          <rPr>
            <b/>
            <sz val="8"/>
            <rFont val="Tahoma"/>
            <family val="0"/>
          </rPr>
          <t xml:space="preserve">In this parameter and value, the number "xxx" (i.e. "CAxxx") is the installation instance of the CA.
</t>
        </r>
      </text>
    </comment>
    <comment ref="C51" authorId="0">
      <text>
        <r>
          <rPr>
            <b/>
            <sz val="8"/>
            <rFont val="Tahoma"/>
            <family val="0"/>
          </rPr>
          <t xml:space="preserve">In this parameter and value, the number "xxx" (i.e. "CAxxx") is the installation instance of the CA.
</t>
        </r>
      </text>
    </comment>
    <comment ref="C60" authorId="0">
      <text>
        <r>
          <rPr>
            <b/>
            <sz val="8"/>
            <rFont val="Tahoma"/>
            <family val="0"/>
          </rPr>
          <t xml:space="preserve">In this parameter and value, the number "xxx" (i.e. "CAxxx") is the installation instance of the CA.
</t>
        </r>
      </text>
    </comment>
    <comment ref="C65" authorId="0">
      <text>
        <r>
          <rPr>
            <b/>
            <sz val="8"/>
            <rFont val="Tahoma"/>
            <family val="0"/>
          </rPr>
          <t xml:space="preserve">In this parameter and value, the number "xxx" (i.e. "CAxxx") is the installation instance of the CA.
</t>
        </r>
      </text>
    </comment>
    <comment ref="C49" authorId="0">
      <text>
        <r>
          <rPr>
            <b/>
            <sz val="8"/>
            <rFont val="Tahoma"/>
            <family val="0"/>
          </rPr>
          <t xml:space="preserve">In this parameter and value, the number "xxx" (i.e. "CAxxx") is the installation instance of the CA.
</t>
        </r>
      </text>
    </comment>
    <comment ref="C81" authorId="0">
      <text>
        <r>
          <rPr>
            <b/>
            <sz val="8"/>
            <rFont val="Tahoma"/>
            <family val="0"/>
          </rPr>
          <t xml:space="preserve">These three parameters define for the CallAgent: 
the external trace log archival system name,
the full path name of the target archive directory,
the disk quota reserved.
</t>
        </r>
      </text>
    </comment>
    <comment ref="C82" authorId="0">
      <text>
        <r>
          <rPr>
            <b/>
            <sz val="8"/>
            <rFont val="Tahoma"/>
            <family val="0"/>
          </rPr>
          <t>These three parameters define for the FSPTC: 
the external trace log archival system name,
the full path name of the target archive directory,
the disk quota reserved.</t>
        </r>
      </text>
    </comment>
    <comment ref="C83" authorId="0">
      <text>
        <r>
          <rPr>
            <b/>
            <sz val="8"/>
            <rFont val="Tahoma"/>
            <family val="0"/>
          </rPr>
          <t xml:space="preserve">These three parameters define for the FSAIN: 
the external trace log archival system name,
the full path name of the target archive directory,
the disk quota reserved.
</t>
        </r>
      </text>
    </comment>
    <comment ref="C84" authorId="0">
      <text>
        <r>
          <rPr>
            <b/>
            <sz val="8"/>
            <rFont val="Tahoma"/>
            <family val="0"/>
          </rPr>
          <t>These three parameters define for the EMS: 
the external trace log archival system name,
the full path name of the target archive directory,
the disk quota reserved.</t>
        </r>
      </text>
    </comment>
    <comment ref="C85" authorId="0">
      <text>
        <r>
          <rPr>
            <b/>
            <sz val="8"/>
            <rFont val="Tahoma"/>
            <family val="0"/>
          </rPr>
          <t>These three parameters define for the BDMS: 
the external trace log archival system name,
the full path name of the target archive directory,
the disk quota reserved.</t>
        </r>
      </text>
    </comment>
    <comment ref="C86" authorId="0">
      <text>
        <r>
          <rPr>
            <b/>
            <sz val="8"/>
            <rFont val="Tahoma"/>
            <family val="0"/>
          </rPr>
          <t>These three parameters define for the BDMS: 
the external trace log archival system name,
the full path name of the target archive directory,
the disk quota reserved.</t>
        </r>
      </text>
    </comment>
  </commentList>
</comments>
</file>

<file path=xl/sharedStrings.xml><?xml version="1.0" encoding="utf-8"?>
<sst xmlns="http://schemas.openxmlformats.org/spreadsheetml/2006/main" count="889" uniqueCount="603">
  <si>
    <t># BROKER_DNS_FOR_PMG=</t>
  </si>
  <si>
    <t>EMS_PKG_LIST="BTSbase BTStzone BTSxntp BTSacct BTSjava SMCapache BTSutil BTSoms BTSsmg BTSoamp BTSsup BTSsec BTSmysql SFWncur BTShmn BTSmgp BTSemsql BTSsnmp BTSems BTSbdms BTSemlib BTSbmlib BTSlib BTStools BTSora BTSorada BTSoradm BTSorscm BTSoropt BTSortbs BTSordba BTSoramg BTSinst"</t>
  </si>
  <si>
    <t>CF_PKG_LIST="BTSbase BTStzone BTSxntp BTSacct BTSjava SMCapache BTSutil BTSoms BTSsmg BTShmn BTSsnmp BTSoamp BTSca BTScacat BTSpots BTSpotscat BTSain BTSaincat BTScalib BTSfslib BTSfplib BTSfalib BTSlib BTStools BTSinst"</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</si>
  <si>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</si>
  <si>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</si>
  <si>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</si>
  <si>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</si>
  <si>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</si>
  <si>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</si>
  <si>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</si>
  <si>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</si>
  <si>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</si>
  <si>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</si>
  <si>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</si>
  <si>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</si>
  <si>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</si>
  <si>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</si>
  <si>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</si>
  <si>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</si>
  <si>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</si>
  <si>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</si>
  <si>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</si>
  <si>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</si>
  <si>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</si>
  <si>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</si>
  <si>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</si>
  <si>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</si>
  <si>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</si>
  <si>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</si>
  <si>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</si>
  <si>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</si>
  <si>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</si>
  <si>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</si>
  <si>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</si>
  <si>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</si>
  <si>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</si>
  <si>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</si>
  <si>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</si>
  <si>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</si>
  <si>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</si>
  <si>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</si>
  <si>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</si>
  <si>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</si>
  <si>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</si>
  <si>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</si>
  <si>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</si>
  <si>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</si>
  <si>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</si>
  <si>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</si>
  <si>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</si>
  <si>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</si>
  <si>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</si>
  <si>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</si>
  <si>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</si>
  <si>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</si>
  <si>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</si>
  <si>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</si>
  <si>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</si>
  <si>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</si>
  <si>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</si>
  <si>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</si>
  <si>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 This flag will guide the installation which mem.cfg to use</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</si>
  <si>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</si>
  <si>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</si>
  <si>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</si>
  <si>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</si>
  <si>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</si>
  <si>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</si>
  <si>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Cisco-ITP Signaling Gateway you MUST chose SUA. The default is set to SUA.</t>
  </si>
  <si>
    <t>#++++++++++++++++  END  OF  REQUIRED  COMMON  LIST  +++++++++++++++++++</t>
  </si>
  <si>
    <t>#######################  HOST  NAME  LIST   ############################</t>
  </si>
  <si>
    <t># used by an EGA process to communicate to an EMS at startup.</t>
  </si>
  <si>
    <t># Examples: A simplex system: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</si>
  <si>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</si>
  <si>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</si>
  <si>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</si>
  <si>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</si>
  <si>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</si>
  <si>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</si>
  <si>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</si>
  <si>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</si>
  <si>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</si>
  <si>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</si>
  <si>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</si>
  <si>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</si>
  <si>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</si>
  <si>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</si>
  <si>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</si>
  <si>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</si>
  <si>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</si>
  <si>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</si>
  <si>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</si>
  <si>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</si>
  <si>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</si>
  <si>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</si>
  <si>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</si>
  <si>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</si>
  <si>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</si>
  <si>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</si>
  <si>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</si>
  <si>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</si>
  <si>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</si>
  <si>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</si>
  <si>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</si>
  <si>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</si>
  <si>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</si>
  <si>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</si>
  <si>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</si>
  <si>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</si>
  <si>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</si>
  <si>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</si>
  <si>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</si>
  <si>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</si>
  <si>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</si>
  <si>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</si>
  <si>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</si>
  <si>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</si>
  <si>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</si>
  <si>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</si>
  <si>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</si>
  <si>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</si>
  <si>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</si>
  <si>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</si>
  <si>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</si>
  <si>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</si>
  <si>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</si>
  <si>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</si>
  <si>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</si>
  <si>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</si>
  <si>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</si>
  <si>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</si>
  <si>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</si>
  <si>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if the flag is "demo", it will use a mem.cfg for demo and lab use only</t>
  </si>
  <si>
    <t># if the flag is "router", it will use a mem.cfg for route server</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</si>
  <si>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</si>
  <si>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</si>
  <si>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</si>
  <si>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</si>
  <si>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</si>
  <si>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</si>
  <si>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</si>
  <si>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</si>
  <si>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</si>
  <si>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</si>
  <si>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</si>
  <si>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</si>
  <si>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</si>
  <si>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</si>
  <si>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</si>
  <si>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</si>
  <si>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</si>
  <si>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</si>
  <si>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</si>
  <si>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</si>
  <si>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</si>
  <si>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</si>
  <si>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</si>
  <si>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</si>
  <si>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</si>
  <si>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</si>
  <si>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</si>
  <si>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</si>
  <si>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</si>
  <si>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</si>
  <si>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</si>
  <si>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</si>
  <si>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</si>
  <si>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</si>
  <si>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#The following are parameters which are not used anymore for this load.</t>
  </si>
  <si>
    <t>#-----------  END  OF  FSPTC  REQUIRED  DNS  NAMES  --------------------</t>
  </si>
  <si>
    <t>#==================   EMS  REQUIRED  DNS  NAMES   ======================</t>
  </si>
  <si>
    <t># Each name should return two IP addresses of a EMS.</t>
  </si>
  <si>
    <t># These are qualified DNS names used by OMSHub in both side of EMS</t>
  </si>
  <si>
    <t>#================ END  OF  EMS  REQUIRED  DNS  NAMES   =================</t>
  </si>
  <si>
    <t>Date</t>
  </si>
  <si>
    <t>Version</t>
  </si>
  <si>
    <t>Comments</t>
  </si>
  <si>
    <t>Value</t>
  </si>
  <si>
    <t>Subnet mask for signaling network 1</t>
  </si>
  <si>
    <t>Subnet mask for signalling network 2</t>
  </si>
  <si>
    <t>ns1</t>
  </si>
  <si>
    <t>ns2</t>
  </si>
  <si>
    <t>Physical Interface</t>
  </si>
  <si>
    <t>Company Name:</t>
  </si>
  <si>
    <t>Contact (Name):</t>
  </si>
  <si>
    <t>BTS Release:</t>
  </si>
  <si>
    <t>MAIN_ST</t>
  </si>
  <si>
    <t>Preparation Date:</t>
  </si>
  <si>
    <t>NTP Time Host</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</si>
  <si>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</si>
  <si>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</si>
  <si>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</si>
  <si>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</si>
  <si>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</si>
  <si>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</si>
  <si>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</si>
  <si>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</si>
  <si>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</si>
  <si>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</si>
  <si>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</si>
  <si>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</si>
  <si>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</si>
  <si>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</si>
  <si>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</si>
  <si>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</si>
  <si>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</si>
  <si>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</si>
  <si>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</si>
  <si>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</si>
  <si>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</si>
  <si>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</si>
  <si>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</si>
  <si>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</si>
  <si>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</si>
  <si>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</si>
  <si>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</si>
  <si>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</si>
  <si>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</si>
  <si>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</si>
  <si>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</si>
  <si>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</si>
  <si>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</si>
  <si>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</si>
  <si>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t>DNS_FOR_FSPTC_SIDE_A_OMS_SLAVE_HUB</t>
  </si>
  <si>
    <t>DNS_FOR_FSPTC_SIDE_B_OMS_SLAVE_HUB</t>
  </si>
  <si>
    <t>DNS_FOR_EMS_SIDE_A_OMS_SLAVE_HUB</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</si>
  <si>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</si>
  <si>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</si>
  <si>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</si>
  <si>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</si>
  <si>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</si>
  <si>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</si>
  <si>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</si>
  <si>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</si>
  <si>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</si>
  <si>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</si>
  <si>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</si>
  <si>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</si>
  <si>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</si>
  <si>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</si>
  <si>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</si>
  <si>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</si>
  <si>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</si>
  <si>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</si>
  <si>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</si>
  <si>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</si>
  <si>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</si>
  <si>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</si>
  <si>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</si>
  <si>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</si>
  <si>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</si>
  <si>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</si>
  <si>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</si>
  <si>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</si>
  <si>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</si>
  <si>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</si>
  <si>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</si>
  <si>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</si>
  <si>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</si>
  <si>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</si>
  <si>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</si>
  <si>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</si>
  <si>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</si>
  <si>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</si>
  <si>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</si>
  <si>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</si>
  <si>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</si>
  <si>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</si>
  <si>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</si>
  <si>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</si>
  <si>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</si>
  <si>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</si>
  <si>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</si>
  <si>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</si>
  <si>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</si>
  <si>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</si>
  <si>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</si>
  <si>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</si>
  <si>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</si>
  <si>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</si>
  <si>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</si>
  <si>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</si>
  <si>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 if the flag is "small", it will point to small size mem.cfg</t>
  </si>
  <si>
    <t>CONFIGURATION</t>
  </si>
  <si>
    <t>SGW_OPTION</t>
  </si>
  <si>
    <t>SUA</t>
  </si>
  <si>
    <t>BROKER_DNS_FOR_PMG_IN_CA</t>
  </si>
  <si>
    <t>BROKER_DNS_FOR_PMG_IN_EMS</t>
  </si>
  <si>
    <t>CA_SIDE_A_HN</t>
  </si>
  <si>
    <t>CA_SIDE_B_HN</t>
  </si>
  <si>
    <t>FSAIN_SIDE_A_HN</t>
  </si>
  <si>
    <t>FSAIN_SIDE_B_HN</t>
  </si>
  <si>
    <t>FSPTC_SIDE_A_HN</t>
  </si>
  <si>
    <t>FSPTC_SIDE_B_HN</t>
  </si>
  <si>
    <t>EMS_SIDE_A_HN</t>
  </si>
  <si>
    <t>EMS_SIDE_B_HN</t>
  </si>
  <si>
    <t>TARGET_MARKET</t>
  </si>
  <si>
    <t>China</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</si>
  <si>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</si>
  <si>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</si>
  <si>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</si>
  <si>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</si>
  <si>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</si>
  <si>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</si>
  <si>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</si>
  <si>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</si>
  <si>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</si>
  <si>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</si>
  <si>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</si>
  <si>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</si>
  <si>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</si>
  <si>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</si>
  <si>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</si>
  <si>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</si>
  <si>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</si>
  <si>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</si>
  <si>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</si>
  <si>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</si>
  <si>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</si>
  <si>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</si>
  <si>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</si>
  <si>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</si>
  <si>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</si>
  <si>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</si>
  <si>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</si>
  <si>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</si>
  <si>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</si>
  <si>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</si>
  <si>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</si>
  <si>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</si>
  <si>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</si>
  <si>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</si>
  <si>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</si>
  <si>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</si>
  <si>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</si>
  <si>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</si>
  <si>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</si>
  <si>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Alrm01</t>
  </si>
  <si>
    <t>10.89.225.3</t>
  </si>
  <si>
    <t>Alarm Panel Hostname (Optional)</t>
  </si>
  <si>
    <t>Alarm Panel IP Address (Optional)</t>
  </si>
  <si>
    <t>Secondary NTP Time Host (Optional)</t>
  </si>
  <si>
    <t>Enable GDRS?</t>
  </si>
  <si>
    <t>Enable H323?</t>
  </si>
  <si>
    <t>Enable SS7?</t>
  </si>
  <si>
    <t>Enable IPSEC?</t>
  </si>
  <si>
    <t>Memory Configuration Type</t>
  </si>
  <si>
    <t>BTS Configuration</t>
  </si>
  <si>
    <t>CA Instance Number</t>
  </si>
  <si>
    <t>FSAIN Instance Number</t>
  </si>
  <si>
    <t>FSPTC Instance Number</t>
  </si>
  <si>
    <t>medium</t>
  </si>
  <si>
    <t>Broker DNS for PMG in the CA</t>
  </si>
  <si>
    <t>Broker DNS for PMG in the EMS</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</si>
  <si>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</si>
  <si>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</si>
  <si>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</si>
  <si>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</si>
  <si>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</si>
  <si>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</si>
  <si>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</si>
  <si>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</si>
  <si>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</si>
  <si>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</si>
  <si>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</si>
  <si>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</si>
  <si>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</si>
  <si>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</si>
  <si>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</si>
  <si>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</si>
  <si>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</si>
  <si>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</si>
  <si>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</si>
  <si>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</si>
  <si>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</si>
  <si>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</si>
  <si>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</si>
  <si>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</si>
  <si>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</si>
  <si>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</si>
  <si>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</si>
  <si>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</si>
  <si>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</si>
  <si>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</si>
  <si>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</si>
  <si>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</si>
  <si>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</si>
  <si>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</si>
  <si>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</si>
  <si>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</si>
  <si>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</si>
  <si>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</si>
  <si>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</si>
  <si>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</si>
  <si>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t>Site Name / ID</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</si>
  <si>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</si>
  <si>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</si>
  <si>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</si>
  <si>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</si>
  <si>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</si>
  <si>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</si>
  <si>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</si>
  <si>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</si>
  <si>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</si>
  <si>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</si>
  <si>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</si>
  <si>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</si>
  <si>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</si>
  <si>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</si>
  <si>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</si>
  <si>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</si>
  <si>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</si>
  <si>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</si>
  <si>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</si>
  <si>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</si>
  <si>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</si>
  <si>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</si>
  <si>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 needs. Valid values are: "y" or "n". Default is "n"</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</si>
  <si>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</si>
  <si>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</si>
  <si>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</si>
  <si>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</si>
  <si>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</si>
  <si>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</si>
  <si>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</si>
  <si>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</si>
  <si>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</si>
  <si>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</si>
  <si>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</si>
  <si>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</si>
  <si>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</si>
  <si>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</si>
  <si>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</si>
  <si>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</si>
  <si>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</si>
  <si>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</si>
  <si>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</si>
  <si>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</si>
  <si>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</si>
  <si>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</si>
  <si>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</si>
  <si>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</si>
  <si>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</si>
  <si>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</si>
  <si>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</si>
  <si>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</si>
  <si>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</si>
  <si>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</si>
  <si>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</si>
  <si>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</si>
  <si>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</si>
  <si>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</si>
  <si>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</si>
  <si>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</si>
  <si>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</si>
  <si>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</si>
  <si>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</si>
  <si>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</si>
  <si>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</si>
  <si>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</si>
  <si>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</si>
  <si>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 NSCD_NAMED_ENABLED=</t>
  </si>
  <si>
    <t># PRIMARY_NTP_SERVER=</t>
  </si>
  <si>
    <t># SECONDARY_NTP_SERVER=</t>
  </si>
  <si>
    <t>#The following is the PKG_LIST sequence for EMS and CF</t>
  </si>
  <si>
    <t>10.89.224.2</t>
  </si>
  <si>
    <t>Modifed based on 4.5.0Q16 opticall.cfg file. Fixed certain formula entries</t>
  </si>
  <si>
    <t># Copyright (c) 2002-2005 by Cisco Systems, Inc.</t>
  </si>
  <si>
    <t>#                               DNS_FOR_CAxxx_H3A_COM</t>
  </si>
  <si>
    <t>#                               DNS_FOR_CAxxx_MGA_COM</t>
  </si>
  <si>
    <t>#                               DNS_FOR_CA_SIDE_B_BLG_LINK_MONITOR</t>
  </si>
  <si>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</si>
  <si>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</si>
  <si>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</si>
  <si>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</si>
  <si>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</si>
  <si>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</si>
  <si>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</si>
  <si>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</si>
  <si>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</si>
  <si>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</si>
  <si>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 The allowable values are "small", "medium4G", "medium", "demo", "router"</t>
  </si>
  <si>
    <t># , "localLnp" and "localLnpRN"</t>
  </si>
  <si>
    <t># if the flag is "medium4G", it will point to medium size mem.cfg which requires 4G of memory</t>
  </si>
  <si>
    <t># if the flag is "medium", it will point to medium size mem.cfg which requires 8G of memory</t>
  </si>
  <si>
    <t># if the flag is "localLnp", it will use a mem.cfg which supports local LNP</t>
  </si>
  <si>
    <t># with onboard LNP database (DN2GN table)</t>
  </si>
  <si>
    <t># if the flag is "localLnpRN", it will use a mem.cfg which supports local LNP</t>
  </si>
  <si>
    <t># with onboard LNP database (DN2RN table)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</si>
  <si>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</si>
  <si>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</si>
  <si>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</si>
  <si>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</si>
  <si>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</si>
  <si>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</si>
  <si>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</si>
  <si>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</si>
  <si>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</si>
  <si>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</si>
  <si>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</si>
  <si>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</si>
  <si>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</si>
  <si>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</si>
  <si>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</si>
  <si>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</si>
  <si>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</si>
  <si>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</si>
  <si>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</si>
  <si>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</si>
  <si>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</si>
  <si>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</si>
  <si>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</si>
  <si>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</si>
  <si>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</si>
  <si>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</si>
  <si>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</si>
  <si>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</si>
  <si>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</si>
  <si>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</si>
  <si>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</si>
  <si>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</si>
  <si>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</si>
  <si>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</si>
  <si>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</si>
  <si>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</si>
  <si>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</si>
  <si>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</si>
  <si>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</si>
  <si>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</si>
  <si>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</si>
  <si>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</si>
  <si>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</si>
  <si>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</si>
  <si>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</si>
  <si>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</si>
  <si>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</si>
  <si>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</si>
  <si>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</si>
  <si>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</si>
  <si>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</si>
  <si>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</si>
  <si>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</si>
  <si>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</si>
  <si>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</si>
  <si>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</si>
  <si>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</si>
  <si>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</si>
  <si>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</si>
  <si>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r>
      <t>Note</t>
    </r>
    <r>
      <rPr>
        <sz val="10"/>
        <rFont val="Arial"/>
        <family val="0"/>
      </rPr>
      <t xml:space="preserve">: </t>
    </r>
    <r>
      <rPr>
        <i/>
        <sz val="10"/>
        <rFont val="Arial"/>
        <family val="2"/>
      </rPr>
      <t>The LAF parameters must be left all blank if this feature is not used</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</si>
  <si>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</si>
  <si>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</si>
  <si>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</si>
  <si>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</si>
  <si>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</si>
  <si>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</si>
  <si>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</si>
  <si>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</si>
  <si>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</si>
  <si>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</si>
  <si>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</si>
  <si>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</si>
  <si>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</si>
  <si>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</si>
  <si>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NOTE: please do not assign this name to any Media Gateway.</t>
  </si>
  <si>
    <t xml:space="preserve"># </t>
  </si>
  <si>
    <t># each side of the Call Agent).</t>
  </si>
  <si>
    <t># 4.5.0.V03, is still checking for this name and expects four IP addresses (two from</t>
  </si>
  <si>
    <t># This entry is not used by the MGA process but the installation, for loads up to</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</si>
  <si>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</si>
  <si>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</si>
  <si>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</si>
  <si>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</si>
  <si>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</si>
  <si>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</si>
  <si>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</si>
  <si>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</si>
  <si>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</si>
  <si>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</si>
  <si>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</si>
  <si>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</si>
  <si>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</si>
  <si>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</si>
  <si>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</si>
  <si>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</si>
  <si>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</si>
  <si>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</si>
  <si>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</si>
  <si>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</si>
  <si>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</si>
  <si>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</si>
  <si>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</si>
  <si>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</si>
  <si>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</si>
  <si>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</si>
  <si>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</si>
  <si>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</si>
  <si>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</si>
  <si>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</si>
  <si>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</si>
  <si>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</si>
  <si>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</si>
  <si>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r>
      <t>Rev 15</t>
    </r>
    <r>
      <rPr>
        <b/>
        <sz val="10"/>
        <rFont val="Arial"/>
        <family val="2"/>
      </rPr>
      <t xml:space="preserve">          </t>
    </r>
    <r>
      <rPr>
        <b/>
        <u val="single"/>
        <sz val="10"/>
        <rFont val="Arial"/>
        <family val="2"/>
      </rPr>
      <t>Prepared for:</t>
    </r>
  </si>
  <si>
    <t>Updated this version history section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</si>
</sst>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s>
  <fonts count="36">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b/>
      <sz val="10"/>
      <name val="Tahoma"/>
      <family val="2"/>
    </font>
    <font>
      <sz val="8"/>
      <name val="Tahoma"/>
      <family val="0"/>
    </font>
    <font>
      <i/>
      <u val="single"/>
      <sz val="10"/>
      <name val="Arial"/>
      <family val="2"/>
    </font>
    <font>
      <u val="single"/>
      <sz val="10"/>
      <name val="Arial"/>
      <family val="2"/>
    </font>
    <font>
      <b/>
      <sz val="8"/>
      <name val="Arial"/>
      <family val="2"/>
    </font>
  </fonts>
  <fills count="7">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0" borderId="0" xfId="0" applyNumberFormat="1" applyFont="1" applyFill="1" applyAlignment="1">
      <alignment/>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4"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5" xfId="0" applyFont="1" applyFill="1" applyBorder="1" applyAlignment="1" applyProtection="1">
      <alignment horizontal="lef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8" xfId="0" applyBorder="1" applyAlignment="1" applyProtection="1">
      <alignment/>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49" fontId="0" fillId="0" borderId="10" xfId="0" applyNumberFormat="1" applyFill="1" applyBorder="1" applyAlignment="1">
      <alignment horizontal="left" vertical="center"/>
    </xf>
    <xf numFmtId="0" fontId="0" fillId="0" borderId="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5">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368</v>
      </c>
      <c r="C2" s="107"/>
      <c r="D2" s="99"/>
    </row>
    <row r="3" spans="2:4" ht="21" customHeight="1">
      <c r="B3" s="108"/>
      <c r="C3" s="109"/>
      <c r="D3" s="45"/>
    </row>
    <row r="4" spans="2:4" ht="33" customHeight="1">
      <c r="B4" s="153" t="s">
        <v>396</v>
      </c>
      <c r="C4" s="154"/>
      <c r="D4" s="45"/>
    </row>
    <row r="5" spans="2:4" ht="47.25" customHeight="1">
      <c r="B5" s="153" t="s">
        <v>395</v>
      </c>
      <c r="C5" s="155"/>
      <c r="D5" s="45"/>
    </row>
    <row r="6" spans="2:4" ht="47.25" customHeight="1">
      <c r="B6" s="156"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57"/>
      <c r="D6" s="45"/>
    </row>
    <row r="7" spans="2:4" ht="18.75" customHeight="1">
      <c r="B7" s="111" t="s">
        <v>25</v>
      </c>
      <c r="C7" s="110"/>
      <c r="D7" s="45"/>
    </row>
    <row r="8" spans="2:4" ht="42" customHeight="1">
      <c r="B8" s="112">
        <v>1</v>
      </c>
      <c r="C8" s="113" t="s">
        <v>389</v>
      </c>
      <c r="D8" s="45"/>
    </row>
    <row r="9" spans="2:4" ht="42.75" customHeight="1">
      <c r="B9" s="112">
        <f>B8+1</f>
        <v>2</v>
      </c>
      <c r="C9" s="113" t="s">
        <v>11</v>
      </c>
      <c r="D9" s="53"/>
    </row>
    <row r="10" spans="2:3" ht="30" customHeight="1">
      <c r="B10" s="112">
        <f>B9+1</f>
        <v>3</v>
      </c>
      <c r="C10" s="113" t="s">
        <v>376</v>
      </c>
    </row>
    <row r="11" spans="2:3" ht="30" customHeight="1">
      <c r="B11" s="112">
        <f>B10+1</f>
        <v>4</v>
      </c>
      <c r="C11" s="113" t="s">
        <v>409</v>
      </c>
    </row>
    <row r="12" spans="2:3" ht="30" customHeight="1">
      <c r="B12" s="112">
        <f>B11+1</f>
        <v>5</v>
      </c>
      <c r="C12" s="113" t="s">
        <v>412</v>
      </c>
    </row>
    <row r="13" spans="2:4" ht="12.75">
      <c r="B13" s="114"/>
      <c r="C13" s="109"/>
      <c r="D13" s="45"/>
    </row>
    <row r="14" spans="2:4" ht="25.5">
      <c r="B14" s="115" t="s">
        <v>12</v>
      </c>
      <c r="C14" s="113" t="s">
        <v>13</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55"/>
  <sheetViews>
    <sheetView showGridLines="0" workbookViewId="0" topLeftCell="A130">
      <selection activeCell="A155" sqref="A155:IV155"/>
    </sheetView>
  </sheetViews>
  <sheetFormatPr defaultColWidth="9.140625" defaultRowHeight="12.75"/>
  <cols>
    <col min="1" max="1" width="100.140625" style="123" bestFit="1" customWidth="1"/>
    <col min="2" max="16384" width="0" style="69" hidden="1" customWidth="1"/>
  </cols>
  <sheetData>
    <row r="1" ht="13.5">
      <c r="A1" s="96" t="s">
        <v>20</v>
      </c>
    </row>
    <row r="2" ht="13.5">
      <c r="A2" s="96" t="s">
        <v>19</v>
      </c>
    </row>
    <row r="3" ht="13.5">
      <c r="A3" s="96" t="str">
        <f>CONCATENATE(";## Reverse DNS BIND file entries for BTS Installation:  ",'NIDS Data Entry + Netwk tables'!C11)</f>
        <v>;## Reverse DNS BIND file entries for BTS Installation:  MAIN_ST</v>
      </c>
    </row>
    <row r="4" ht="13.5">
      <c r="A4" s="96" t="s">
        <v>19</v>
      </c>
    </row>
    <row r="5" ht="13.5">
      <c r="A5" s="96" t="s">
        <v>20</v>
      </c>
    </row>
    <row r="6" ht="13.5">
      <c r="A6" s="96"/>
    </row>
    <row r="7" ht="13.5">
      <c r="A7" s="93" t="s">
        <v>411</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2005111001       ; Serial number</v>
      </c>
    </row>
    <row r="10" ht="13.5">
      <c r="A10" s="93" t="s">
        <v>21</v>
      </c>
    </row>
    <row r="11" ht="13.5">
      <c r="A11" s="93" t="s">
        <v>22</v>
      </c>
    </row>
    <row r="12" ht="13.5">
      <c r="A12" s="93" t="s">
        <v>23</v>
      </c>
    </row>
    <row r="13" ht="13.5">
      <c r="A13" s="93" t="s">
        <v>24</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crit-aMAIN_STEMS.name.cisco.com.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crit-bMAIN_STEMS.name.cisco.com.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CONCATENATE(RIGHT('NIDS DNS table'!$C$18,LEN('NIDS DNS table'!$C$18)-FIND(".",'NIDS DNS table'!$C$18,FIND(".",'NIDS DNS table'!$C$18,FIND(".",'NIDS DNS table'!$C$18)+1)+1)),REPT(" ",15),"IN      PTR     ",'NIDS DNS table'!$B$18,".")</f>
        <v>254               IN      PTR     brokerems-MAIN_ST.name.cisco.com.</v>
      </c>
    </row>
    <row r="29" ht="13.5">
      <c r="A29" s="93"/>
    </row>
    <row r="30" ht="13.5">
      <c r="A30"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1" ht="13.5">
      <c r="A31" s="93" t="str">
        <f>CONCATENATE(RIGHT('NIDS DNS table'!$C$99,LEN('NIDS DNS table'!$C$99)-FIND(".",'NIDS DNS table'!$C$99,FIND(".",'NIDS DNS table'!$C$99,FIND(".",'NIDS DNS table'!$C$99)+1)+1)),REPT(" ",15),"IN      PTR     ",'NIDS DNS table'!$B$98,".")</f>
        <v>10               IN      PTR     crit-aMAIN_STEMS.name.cisco.com.</v>
      </c>
    </row>
    <row r="32" ht="13.5">
      <c r="A32" s="93" t="str">
        <f>CONCATENATE(RIGHT('NIDS DNS table'!$C$9,LEN('NIDS DNS table'!$C$9)-FIND(".",'NIDS DNS table'!$C$9,FIND(".",'NIDS DNS table'!$C$9,FIND(".",'NIDS DNS table'!$C$9)+1)+1)),REPT(" ",15),"IN      PTR     ",'NIDS DNS table'!$B$8,".")</f>
        <v>10               IN      PTR     priems.name.cisco.com.</v>
      </c>
    </row>
    <row r="33" ht="13.5">
      <c r="A33" s="93" t="str">
        <f>CONCATENATE(RIGHT('NIDS DNS table'!$C$101,LEN('NIDS DNS table'!$C$101)-FIND(".",'NIDS DNS table'!$C$101,FIND(".",'NIDS DNS table'!$C$101,FIND(".",'NIDS DNS table'!$C$101)+1)+1)),REPT(" ",15),"IN      PTR     ",'NIDS DNS table'!$B$100,".")</f>
        <v>11               IN      PTR     crit-bMAIN_STEMS.name.cisco.com.</v>
      </c>
    </row>
    <row r="34" ht="13.5">
      <c r="A34" s="93" t="str">
        <f>CONCATENATE(RIGHT('NIDS DNS table'!$C$11,LEN('NIDS DNS table'!$C$11)-FIND(".",'NIDS DNS table'!$C$11,FIND(".",'NIDS DNS table'!$C$11,FIND(".",'NIDS DNS table'!$C$11)+1)+1)),REPT(" ",15),"IN      PTR     ",'NIDS DNS table'!$B$10,".")</f>
        <v>11               IN      PTR     secems.name.cisco.com.</v>
      </c>
    </row>
    <row r="35" ht="13.5">
      <c r="A35" s="93" t="str">
        <f>CONCATENATE(RIGHT('NIDS DNS table'!$C$13,LEN('NIDS DNS table'!$C$13)-FIND(".",'NIDS DNS table'!$C$13,FIND(".",'NIDS DNS table'!$C$13,FIND(".",'NIDS DNS table'!$C$13)+1)+1)),REPT(" ",15),"IN      PTR     ",'NIDS DNS table'!$B$12,".")</f>
        <v>12               IN      PTR     prica.name.cisco.com.</v>
      </c>
    </row>
    <row r="36" ht="13.5">
      <c r="A36" s="96" t="str">
        <f>CONCATENATE(RIGHT('NIDS DNS table'!$C$15,LEN('NIDS DNS table'!$C$15)-FIND(".",'NIDS DNS table'!$C$15,FIND(".",'NIDS DNS table'!$C$15,FIND(".",'NIDS DNS table'!$C$15)+1)+1)),REPT(" ",15),"IN      PTR     ",'NIDS DNS table'!$B$14,".")</f>
        <v>13               IN      PTR     secca.name.cisco.com.</v>
      </c>
    </row>
    <row r="37" ht="13.5">
      <c r="A37" s="93" t="str">
        <f>CONCATENATE(RIGHT('NIDS DNS table'!$C$19,LEN('NIDS DNS table'!$C$19)-FIND(".",'NIDS DNS table'!$C$19,FIND(".",'NIDS DNS table'!$C$19,FIND(".",'NIDS DNS table'!$C$19)+1)+1)),REPT(" ",15),"IN      PTR     ",'NIDS DNS table'!$B$18,".")</f>
        <v>254               IN      PTR     brokerems-MAIN_ST.name.cisco.com.</v>
      </c>
    </row>
    <row r="38" ht="13.5">
      <c r="A38" s="93"/>
    </row>
    <row r="39" ht="13.5">
      <c r="A39"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0" ht="13.5">
      <c r="A40" s="93" t="str">
        <f>CONCATENATE(RIGHT('NIDS DNS table'!$C$44,LEN('NIDS DNS table'!$C$44)-FIND(".",'NIDS DNS table'!$C$44,FIND(".",'NIDS DNS table'!$C$44,FIND(".",'NIDS DNS table'!$C$44)+1)+1)),REPT(" ",15),"IN      PTR     ",'NIDS DNS table'!$B$44,".")</f>
        <v>12               IN      PTR     sia-MAIN_STCA.name.cisco.com.</v>
      </c>
    </row>
    <row r="41" ht="13.5">
      <c r="A41" s="93" t="str">
        <f>CONCATENATE(RIGHT('NIDS DNS table'!$C$50,LEN('NIDS DNS table'!$C$50)-FIND(".",'NIDS DNS table'!$C$50,FIND(".",'NIDS DNS table'!$C$50,FIND(".",'NIDS DNS table'!$C$50)+1)+1)),REPT(" ",15),"IN      PTR     ",'NIDS DNS table'!$B$50,".")</f>
        <v>12               IN      PTR     crit-aMAIN_STCA.name.cisco.com.</v>
      </c>
    </row>
    <row r="42" ht="13.5">
      <c r="A42" s="93" t="str">
        <f>CONCATENATE(RIGHT('NIDS DNS table'!$C$54,LEN('NIDS DNS table'!$C$54)-FIND(".",'NIDS DNS table'!$C$54,FIND(".",'NIDS DNS table'!$C$54,FIND(".",'NIDS DNS table'!$C$54)+1)+1)),REPT(" ",15),"IN      PTR     ",'NIDS DNS table'!$B$54,".")</f>
        <v>12               IN      PTR     sia-MAIN_STCA.name.cisco.com.</v>
      </c>
    </row>
    <row r="43" ht="13.5">
      <c r="A43" s="93" t="str">
        <f>CONCATENATE(RIGHT('NIDS DNS table'!$C$64,LEN('NIDS DNS table'!$C$64)-FIND(".",'NIDS DNS table'!$C$64,FIND(".",'NIDS DNS table'!$C$64,FIND(".",'NIDS DNS table'!$C$64)+1)+1)),REPT(" ",15),"IN      PTR     ",'NIDS DNS table'!$B$64,".")</f>
        <v>12               IN      PTR     anm-aMAIN_STCA.name.cisco.com.</v>
      </c>
    </row>
    <row r="44" ht="13.5">
      <c r="A44" s="93" t="str">
        <f>CONCATENATE(RIGHT('NIDS DNS table'!$C$68,LEN('NIDS DNS table'!$C$68)-FIND(".",'NIDS DNS table'!$C$68,FIND(".",'NIDS DNS table'!$C$68,FIND(".",'NIDS DNS table'!$C$68)+1)+1)),REPT(" ",15),"IN      PTR     ",'NIDS DNS table'!$B$68,".")</f>
        <v>12               IN      PTR     sga-aMAIN_STCA.name.cisco.com.</v>
      </c>
    </row>
    <row r="45" ht="13.5">
      <c r="A45" s="93" t="str">
        <f>CONCATENATE(RIGHT('NIDS DNS table'!$C$72,LEN('NIDS DNS table'!$C$72)-FIND(".",'NIDS DNS table'!$C$72,FIND(".",'NIDS DNS table'!$C$72,FIND(".",'NIDS DNS table'!$C$72)+1)+1)),REPT(" ",15),"IN      PTR     ",'NIDS DNS table'!$B$72,".")</f>
        <v>12               IN      PTR     bsm-a1MAIN_STCA.name.cisco.com.</v>
      </c>
    </row>
    <row r="46" ht="13.5">
      <c r="A46" s="93" t="str">
        <f>CONCATENATE(RIGHT('NIDS DNS table'!$C$78,LEN('NIDS DNS table'!$C$78)-FIND(".",'NIDS DNS table'!$C$78,FIND(".",'NIDS DNS table'!$C$78,FIND(".",'NIDS DNS table'!$C$78)+1)+1)),REPT(" ",15),"IN      PTR     ",'NIDS DNS table'!$B$78,".")</f>
        <v>12               IN      PTR     crit-aMAIN_STAIN.name.cisco.com.</v>
      </c>
    </row>
    <row r="47" ht="13.5">
      <c r="A47" s="93" t="str">
        <f>CONCATENATE(RIGHT('NIDS DNS table'!$C$82,LEN('NIDS DNS table'!$C$82)-FIND(".",'NIDS DNS table'!$C$82,FIND(".",'NIDS DNS table'!$C$82,FIND(".",'NIDS DNS table'!$C$82)+1)+1)),REPT(" ",15),"IN      PTR     ",'NIDS DNS table'!$B$82,".")</f>
        <v>12               IN      PTR     sgw-aMAIN_STAIN.name.cisco.com.</v>
      </c>
    </row>
    <row r="48" ht="13.5">
      <c r="A48" s="93" t="str">
        <f>CONCATENATE(RIGHT('NIDS DNS table'!$C$88,LEN('NIDS DNS table'!$C$88)-FIND(".",'NIDS DNS table'!$C$88,FIND(".",'NIDS DNS table'!$C$88,FIND(".",'NIDS DNS table'!$C$88)+1)+1)),REPT(" ",15),"IN      PTR     ",'NIDS DNS table'!$B$88,".")</f>
        <v>12               IN      PTR     crit-aMAIN_STPTC.name.cisco.com.</v>
      </c>
    </row>
    <row r="49" ht="13.5">
      <c r="A49" s="93" t="str">
        <f>CONCATENATE(RIGHT('NIDS DNS table'!$C$92,LEN('NIDS DNS table'!$C$92)-FIND(".",'NIDS DNS table'!$C$92,FIND(".",'NIDS DNS table'!$C$92,FIND(".",'NIDS DNS table'!$C$92)+1)+1)),REPT(" ",15),"IN      PTR     ",'NIDS DNS table'!$B$92,".")</f>
        <v>12               IN      PTR     sgw-aMAIN_STPTC.name.cisco.com.</v>
      </c>
    </row>
    <row r="50" ht="13.5">
      <c r="A50" s="93" t="str">
        <f>CONCATENATE(RIGHT('NIDS DNS table'!$C$46,LEN('NIDS DNS table'!$C$46)-FIND(".",'NIDS DNS table'!$C$46,FIND(".",'NIDS DNS table'!$C$46,FIND(".",'NIDS DNS table'!$C$46)+1)+1)),REPT(" ",15),"IN      PTR     ",'NIDS DNS table'!$B$44,".")</f>
        <v>13               IN      PTR     sia-MAIN_STCA.name.cisco.com.</v>
      </c>
    </row>
    <row r="51" ht="13.5">
      <c r="A51" s="93" t="str">
        <f>CONCATENATE(RIGHT('NIDS DNS table'!$C$52,LEN('NIDS DNS table'!$C$52)-FIND(".",'NIDS DNS table'!$C$52,FIND(".",'NIDS DNS table'!$C$52,FIND(".",'NIDS DNS table'!$C$52)+1)+1)),REPT(" ",15),"IN      PTR     ",'NIDS DNS table'!$B$52,".")</f>
        <v>13               IN      PTR     crit-bMAIN_STCA.name.cisco.com.</v>
      </c>
    </row>
    <row r="52" ht="13.5">
      <c r="A52" s="93" t="str">
        <f>CONCATENATE(RIGHT('NIDS DNS table'!$C$56,LEN('NIDS DNS table'!$C$56)-FIND(".",'NIDS DNS table'!$C$56,FIND(".",'NIDS DNS table'!$C$56,FIND(".",'NIDS DNS table'!$C$56)+1)+1)),REPT(" ",15),"IN      PTR     ",'NIDS DNS table'!$B$54,".")</f>
        <v>13               IN      PTR     sia-MAIN_STCA.name.cisco.com.</v>
      </c>
    </row>
    <row r="53" ht="13.5">
      <c r="A53" s="93" t="str">
        <f>CONCATENATE(RIGHT('NIDS DNS table'!$C$66,LEN('NIDS DNS table'!$C$66)-FIND(".",'NIDS DNS table'!$C$66,FIND(".",'NIDS DNS table'!$C$66,FIND(".",'NIDS DNS table'!$C$66)+1)+1)),REPT(" ",15),"IN      PTR     ",'NIDS DNS table'!$B$66,".")</f>
        <v>13               IN      PTR     anm-bMAIN_STCA.name.cisco.com.</v>
      </c>
    </row>
    <row r="54" ht="13.5">
      <c r="A54" s="93" t="str">
        <f>CONCATENATE(RIGHT('NIDS DNS table'!$C$70,LEN('NIDS DNS table'!$C$70)-FIND(".",'NIDS DNS table'!$C$70,FIND(".",'NIDS DNS table'!$C$70,FIND(".",'NIDS DNS table'!$C$70)+1)+1)),REPT(" ",15),"IN      PTR     ",'NIDS DNS table'!$B$70,".")</f>
        <v>13               IN      PTR     sga-bMAIN_STCA.name.cisco.com.</v>
      </c>
    </row>
    <row r="55" ht="13.5">
      <c r="A55" s="93" t="str">
        <f>CONCATENATE(RIGHT('NIDS DNS table'!$C$74,LEN('NIDS DNS table'!$C$74)-FIND(".",'NIDS DNS table'!$C$74,FIND(".",'NIDS DNS table'!$C$74,FIND(".",'NIDS DNS table'!$C$74)+1)+1)),REPT(" ",15),"IN      PTR     ",'NIDS DNS table'!$B$74,".")</f>
        <v>13               IN      PTR     bsm-b1MAIN_STCA.name.cisco.com.</v>
      </c>
    </row>
    <row r="56" ht="13.5">
      <c r="A56" s="93" t="str">
        <f>CONCATENATE(RIGHT('NIDS DNS table'!$C$80,LEN('NIDS DNS table'!$C$80)-FIND(".",'NIDS DNS table'!$C$80,FIND(".",'NIDS DNS table'!$C$80,FIND(".",'NIDS DNS table'!$C$80)+1)+1)),REPT(" ",15),"IN      PTR     ",'NIDS DNS table'!$B$80,".")</f>
        <v>13               IN      PTR     crit-bMAIN_STAIN.name.cisco.com.</v>
      </c>
    </row>
    <row r="57" ht="13.5">
      <c r="A57" s="93" t="str">
        <f>CONCATENATE(RIGHT('NIDS DNS table'!$C$84,LEN('NIDS DNS table'!$C$84)-FIND(".",'NIDS DNS table'!$C$84,FIND(".",'NIDS DNS table'!$C$84,FIND(".",'NIDS DNS table'!$C$84)+1)+1)),REPT(" ",15),"IN      PTR     ",'NIDS DNS table'!$B$84,".")</f>
        <v>13               IN      PTR     sgw-bMAIN_STAIN.name.cisco.com.</v>
      </c>
    </row>
    <row r="58" ht="13.5">
      <c r="A58" s="93" t="str">
        <f>CONCATENATE(RIGHT('NIDS DNS table'!$C$90,LEN('NIDS DNS table'!$C$90)-FIND(".",'NIDS DNS table'!$C$90,FIND(".",'NIDS DNS table'!$C$90,FIND(".",'NIDS DNS table'!$C$90)+1)+1)),REPT(" ",15),"IN      PTR     ",'NIDS DNS table'!$B$90,".")</f>
        <v>13               IN      PTR     crit-bMAIN_STPTC.name.cisco.com.</v>
      </c>
    </row>
    <row r="59" ht="13.5">
      <c r="A59" s="93" t="str">
        <f>CONCATENATE(RIGHT('NIDS DNS table'!$C$94,LEN('NIDS DNS table'!$C$94)-FIND(".",'NIDS DNS table'!$C$94,FIND(".",'NIDS DNS table'!$C$94,FIND(".",'NIDS DNS table'!$C$94)+1)+1)),REPT(" ",15),"IN      PTR     ",'NIDS DNS table'!$B$94,".")</f>
        <v>13               IN      PTR     sgw-bMAIN_STPTC.name.cisco.com.</v>
      </c>
    </row>
    <row r="60" ht="13.5">
      <c r="A60" s="93" t="str">
        <f>CONCATENATE(RIGHT('NIDS DNS table'!$C$48,LEN('NIDS DNS table'!$C$48)-FIND(".",'NIDS DNS table'!$C$48,FIND(".",'NIDS DNS table'!$C$48,FIND(".",'NIDS DNS table'!$C$48)+1)+1)),REPT(" ",15),"IN      PTR     ",'NIDS DNS table'!$B$48,".")</f>
        <v>14               IN      PTR     mgcp-MAIN_STCA146.name.cisco.com.</v>
      </c>
    </row>
    <row r="61" ht="13.5">
      <c r="A61" s="93" t="str">
        <f>CONCATENATE(RIGHT('NIDS DNS table'!$C$96,LEN('NIDS DNS table'!$C$96)-FIND(".",'NIDS DNS table'!$C$96,FIND(".",'NIDS DNS table'!$C$96,FIND(".",'NIDS DNS table'!$C$96)+1)+1)),REPT(" ",15),"IN      PTR     ",'NIDS DNS table'!$B$96,".")</f>
        <v>15               IN      PTR     gfs-MAIN_STPTC235.name.cisco.com.</v>
      </c>
    </row>
    <row r="62" ht="13.5">
      <c r="A62" s="93" t="str">
        <f>CONCATENATE(RIGHT('NIDS DNS table'!$C$58,LEN('NIDS DNS table'!$C$58)-FIND(".",'NIDS DNS table'!$C$58,FIND(".",'NIDS DNS table'!$C$58,FIND(".",'NIDS DNS table'!$C$58)+1)+1)),REPT(" ",15),"IN      PTR     ",'NIDS DNS table'!$B$58,".")</f>
        <v>16               IN      PTR     sia-MAIN_STCA146.name.cisco.com.</v>
      </c>
    </row>
    <row r="63" ht="13.5">
      <c r="A63" s="93" t="str">
        <f>CONCATENATE(RIGHT('NIDS DNS table'!$C$60,LEN('NIDS DNS table'!$C$60)-FIND(".",'NIDS DNS table'!$C$60,FIND(".",'NIDS DNS table'!$C$60,FIND(".",'NIDS DNS table'!$C$60)+1)+1)),REPT(" ",15),"IN      PTR     ",'NIDS DNS table'!$B$60,".")</f>
        <v>17               IN      PTR     h3a-MAIN_STCA146.name.cisco.com.</v>
      </c>
    </row>
    <row r="64" ht="13.5">
      <c r="A64" s="93" t="str">
        <f>CONCATENATE(RIGHT('NIDS DNS table'!$C$16,LEN('NIDS DNS table'!$C$16)-FIND(".",'NIDS DNS table'!$C$16,FIND(".",'NIDS DNS table'!$C$16,FIND(".",'NIDS DNS table'!$C$16)+1)+1)),REPT(" ",15),"IN      PTR     ",'NIDS DNS table'!$B$16,".")</f>
        <v>254               IN      PTR     broker-MAIN_ST.name.cisco.com.</v>
      </c>
    </row>
    <row r="65" ht="13.5">
      <c r="A65" s="93"/>
    </row>
    <row r="66" ht="13.5">
      <c r="A66"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67" ht="13.5">
      <c r="A67" s="93" t="str">
        <f>CONCATENATE(RIGHT('NIDS DNS table'!$C$45,LEN('NIDS DNS table'!$C$45)-FIND(".",'NIDS DNS table'!$C$45,FIND(".",'NIDS DNS table'!$C$45,FIND(".",'NIDS DNS table'!$C$45)+1)+1)),REPT(" ",15),"IN      PTR     ",'NIDS DNS table'!$B$44,".")</f>
        <v>12               IN      PTR     sia-MAIN_STCA.name.cisco.com.</v>
      </c>
    </row>
    <row r="68" ht="13.5">
      <c r="A68" s="93" t="str">
        <f>CONCATENATE(RIGHT('NIDS DNS table'!$C$51,LEN('NIDS DNS table'!$C$51)-FIND(".",'NIDS DNS table'!$C$51,FIND(".",'NIDS DNS table'!$C$51,FIND(".",'NIDS DNS table'!$C$51)+1)+1)),REPT(" ",15),"IN      PTR     ",'NIDS DNS table'!$B$50,".")</f>
        <v>12               IN      PTR     crit-aMAIN_STCA.name.cisco.com.</v>
      </c>
    </row>
    <row r="69" ht="13.5">
      <c r="A69" s="93" t="str">
        <f>CONCATENATE(RIGHT('NIDS DNS table'!$C$55,LEN('NIDS DNS table'!$C$55)-FIND(".",'NIDS DNS table'!$C$55,FIND(".",'NIDS DNS table'!$C$55,FIND(".",'NIDS DNS table'!$C$55)+1)+1)),REPT(" ",15),"IN      PTR     ",'NIDS DNS table'!$B$54,".")</f>
        <v>12               IN      PTR     sia-MAIN_STCA.name.cisco.com.</v>
      </c>
    </row>
    <row r="70" ht="13.5">
      <c r="A70" s="93" t="str">
        <f>CONCATENATE(RIGHT('NIDS DNS table'!$C$65,LEN('NIDS DNS table'!$C$65)-FIND(".",'NIDS DNS table'!$C$65,FIND(".",'NIDS DNS table'!$C$65,FIND(".",'NIDS DNS table'!$C$65)+1)+1)),REPT(" ",15),"IN      PTR     ",'NIDS DNS table'!$B$64,".")</f>
        <v>12               IN      PTR     anm-aMAIN_STCA.name.cisco.com.</v>
      </c>
    </row>
    <row r="71" ht="13.5">
      <c r="A71" s="93" t="str">
        <f>CONCATENATE(RIGHT('NIDS DNS table'!$C$69,LEN('NIDS DNS table'!$C$69)-FIND(".",'NIDS DNS table'!$C$69,FIND(".",'NIDS DNS table'!$C$69,FIND(".",'NIDS DNS table'!$C$69)+1)+1)),REPT(" ",15),"IN      PTR     ",'NIDS DNS table'!$B$68,".")</f>
        <v>12               IN      PTR     sga-aMAIN_STCA.name.cisco.com.</v>
      </c>
    </row>
    <row r="72" ht="13.5">
      <c r="A72" s="93" t="str">
        <f>CONCATENATE(RIGHT('NIDS DNS table'!$C$73,LEN('NIDS DNS table'!$C$73)-FIND(".",'NIDS DNS table'!$C$73,FIND(".",'NIDS DNS table'!$C$73,FIND(".",'NIDS DNS table'!$C$73)+1)+1)),REPT(" ",15),"IN      PTR     ",'NIDS DNS table'!$B$73,".")</f>
        <v>12               IN      PTR     bsm-a2MAIN_STCA.name.cisco.com.</v>
      </c>
    </row>
    <row r="73" ht="13.5">
      <c r="A73" s="93" t="str">
        <f>CONCATENATE(RIGHT('NIDS DNS table'!$C$79,LEN('NIDS DNS table'!$C$79)-FIND(".",'NIDS DNS table'!$C$79,FIND(".",'NIDS DNS table'!$C$79,FIND(".",'NIDS DNS table'!$C$79)+1)+1)),REPT(" ",15),"IN      PTR     ",'NIDS DNS table'!$B$78,".")</f>
        <v>12               IN      PTR     crit-aMAIN_STAIN.name.cisco.com.</v>
      </c>
    </row>
    <row r="74" ht="13.5">
      <c r="A74" s="93" t="str">
        <f>CONCATENATE(RIGHT('NIDS DNS table'!$C$83,LEN('NIDS DNS table'!$C$83)-FIND(".",'NIDS DNS table'!$C$83,FIND(".",'NIDS DNS table'!$C$83,FIND(".",'NIDS DNS table'!$C$83)+1)+1)),REPT(" ",15),"IN      PTR     ",'NIDS DNS table'!$B$82,".")</f>
        <v>12               IN      PTR     sgw-aMAIN_STAIN.name.cisco.com.</v>
      </c>
    </row>
    <row r="75" ht="13.5">
      <c r="A75" s="93" t="str">
        <f>CONCATENATE(RIGHT('NIDS DNS table'!$C$89,LEN('NIDS DNS table'!$C$89)-FIND(".",'NIDS DNS table'!$C$89,FIND(".",'NIDS DNS table'!$C$89,FIND(".",'NIDS DNS table'!$C$89)+1)+1)),REPT(" ",15),"IN      PTR     ",'NIDS DNS table'!$B$88,".")</f>
        <v>12               IN      PTR     crit-aMAIN_STPTC.name.cisco.com.</v>
      </c>
    </row>
    <row r="76" ht="13.5">
      <c r="A76" s="93" t="str">
        <f>CONCATENATE(RIGHT('NIDS DNS table'!$C$93,LEN('NIDS DNS table'!$C$93)-FIND(".",'NIDS DNS table'!$C$93,FIND(".",'NIDS DNS table'!$C$93,FIND(".",'NIDS DNS table'!$C$93)+1)+1)),REPT(" ",15),"IN      PTR     ",'NIDS DNS table'!$B$92,".")</f>
        <v>12               IN      PTR     sgw-aMAIN_STPTC.name.cisco.com.</v>
      </c>
    </row>
    <row r="77" ht="13.5">
      <c r="A77" s="93" t="str">
        <f>CONCATENATE(RIGHT('NIDS DNS table'!$C$47,LEN('NIDS DNS table'!$C$47)-FIND(".",'NIDS DNS table'!$C$47,FIND(".",'NIDS DNS table'!$C$47,FIND(".",'NIDS DNS table'!$C$47)+1)+1)),REPT(" ",15),"IN      PTR     ",'NIDS DNS table'!$B$44,".")</f>
        <v>13               IN      PTR     sia-MAIN_STCA.name.cisco.com.</v>
      </c>
    </row>
    <row r="78" ht="13.5">
      <c r="A78" s="93" t="str">
        <f>CONCATENATE(RIGHT('NIDS DNS table'!$C$53,LEN('NIDS DNS table'!$C$53)-FIND(".",'NIDS DNS table'!$C$53,FIND(".",'NIDS DNS table'!$C$53,FIND(".",'NIDS DNS table'!$C$53)+1)+1)),REPT(" ",15),"IN      PTR     ",'NIDS DNS table'!$B$52,".")</f>
        <v>13               IN      PTR     crit-bMAIN_STCA.name.cisco.com.</v>
      </c>
    </row>
    <row r="79" ht="13.5">
      <c r="A79" s="93" t="str">
        <f>CONCATENATE(RIGHT('NIDS DNS table'!$C$57,LEN('NIDS DNS table'!$C$57)-FIND(".",'NIDS DNS table'!$C$57,FIND(".",'NIDS DNS table'!$C$57,FIND(".",'NIDS DNS table'!$C$57)+1)+1)),REPT(" ",15),"IN      PTR     ",'NIDS DNS table'!$B$54,".")</f>
        <v>13               IN      PTR     sia-MAIN_STCA.name.cisco.com.</v>
      </c>
    </row>
    <row r="80" ht="13.5">
      <c r="A80" s="93" t="str">
        <f>CONCATENATE(RIGHT('NIDS DNS table'!$C$67,LEN('NIDS DNS table'!$C$67)-FIND(".",'NIDS DNS table'!$C$67,FIND(".",'NIDS DNS table'!$C$67,FIND(".",'NIDS DNS table'!$C$67)+1)+1)),REPT(" ",15),"IN      PTR     ",'NIDS DNS table'!$B$66,".")</f>
        <v>13               IN      PTR     anm-bMAIN_STCA.name.cisco.com.</v>
      </c>
    </row>
    <row r="81" ht="13.5">
      <c r="A81" s="93" t="str">
        <f>CONCATENATE(RIGHT('NIDS DNS table'!$C$71,LEN('NIDS DNS table'!$C$71)-FIND(".",'NIDS DNS table'!$C$71,FIND(".",'NIDS DNS table'!$C$71,FIND(".",'NIDS DNS table'!$C$71)+1)+1)),REPT(" ",15),"IN      PTR     ",'NIDS DNS table'!$B$70,".")</f>
        <v>13               IN      PTR     sga-bMAIN_STCA.name.cisco.com.</v>
      </c>
    </row>
    <row r="82" ht="13.5">
      <c r="A82" s="93" t="str">
        <f>CONCATENATE(RIGHT('NIDS DNS table'!$C$75,LEN('NIDS DNS table'!$C$75)-FIND(".",'NIDS DNS table'!$C$75,FIND(".",'NIDS DNS table'!$C$75,FIND(".",'NIDS DNS table'!$C$75)+1)+1)),REPT(" ",15),"IN      PTR     ",'NIDS DNS table'!$B$75,".")</f>
        <v>13               IN      PTR     bsm-b2MAIN_STCA.name.cisco.com.</v>
      </c>
    </row>
    <row r="83" ht="13.5">
      <c r="A83" s="93" t="str">
        <f>CONCATENATE(RIGHT('NIDS DNS table'!$C$81,LEN('NIDS DNS table'!$C$81)-FIND(".",'NIDS DNS table'!$C$81,FIND(".",'NIDS DNS table'!$C$81,FIND(".",'NIDS DNS table'!$C$81)+1)+1)),REPT(" ",15),"IN      PTR     ",'NIDS DNS table'!$B$80,".")</f>
        <v>13               IN      PTR     crit-bMAIN_STAIN.name.cisco.com.</v>
      </c>
    </row>
    <row r="84" ht="13.5">
      <c r="A84" s="93" t="str">
        <f>CONCATENATE(RIGHT('NIDS DNS table'!$C$85,LEN('NIDS DNS table'!$C$85)-FIND(".",'NIDS DNS table'!$C$85,FIND(".",'NIDS DNS table'!$C$85,FIND(".",'NIDS DNS table'!$C$85)+1)+1)),REPT(" ",15),"IN      PTR     ",'NIDS DNS table'!$B$84,".")</f>
        <v>13               IN      PTR     sgw-bMAIN_STAIN.name.cisco.com.</v>
      </c>
    </row>
    <row r="85" ht="13.5">
      <c r="A85" s="93" t="str">
        <f>CONCATENATE(RIGHT('NIDS DNS table'!$C$91,LEN('NIDS DNS table'!$C$91)-FIND(".",'NIDS DNS table'!$C$91,FIND(".",'NIDS DNS table'!$C$91,FIND(".",'NIDS DNS table'!$C$91)+1)+1)),REPT(" ",15),"IN      PTR     ",'NIDS DNS table'!$B$90,".")</f>
        <v>13               IN      PTR     crit-bMAIN_STPTC.name.cisco.com.</v>
      </c>
    </row>
    <row r="86" ht="13.5">
      <c r="A86" s="93" t="str">
        <f>CONCATENATE(RIGHT('NIDS DNS table'!$C$95,LEN('NIDS DNS table'!$C$95)-FIND(".",'NIDS DNS table'!$C$95,FIND(".",'NIDS DNS table'!$C$95,FIND(".",'NIDS DNS table'!$C$95)+1)+1)),REPT(" ",15),"IN      PTR     ",'NIDS DNS table'!$B$94,".")</f>
        <v>13               IN      PTR     sgw-bMAIN_STPTC.name.cisco.com.</v>
      </c>
    </row>
    <row r="87" ht="13.5">
      <c r="A87" s="93" t="str">
        <f>CONCATENATE(RIGHT('NIDS DNS table'!$C$49,LEN('NIDS DNS table'!$C$49)-FIND(".",'NIDS DNS table'!$C$49,FIND(".",'NIDS DNS table'!$C$49,FIND(".",'NIDS DNS table'!$C$49)+1)+1)),REPT(" ",15),"IN      PTR     ",'NIDS DNS table'!$B$48,".")</f>
        <v>14               IN      PTR     mgcp-MAIN_STCA146.name.cisco.com.</v>
      </c>
    </row>
    <row r="88" ht="13.5">
      <c r="A88" s="93" t="str">
        <f>CONCATENATE(RIGHT('NIDS DNS table'!$C$97,LEN('NIDS DNS table'!$C$97)-FIND(".",'NIDS DNS table'!$C$97,FIND(".",'NIDS DNS table'!$C$97,FIND(".",'NIDS DNS table'!$C$97)+1)+1)),REPT(" ",15),"IN      PTR     ",'NIDS DNS table'!$B$96,".")</f>
        <v>15               IN      PTR     gfs-MAIN_STPTC235.name.cisco.com.</v>
      </c>
    </row>
    <row r="89" ht="13.5">
      <c r="A89" s="93" t="str">
        <f>CONCATENATE(RIGHT('NIDS DNS table'!$C$59,LEN('NIDS DNS table'!$C$59)-FIND(".",'NIDS DNS table'!$C$59,FIND(".",'NIDS DNS table'!$C$59,FIND(".",'NIDS DNS table'!$C$59)+1)+1)),REPT(" ",15),"IN      PTR     ",'NIDS DNS table'!$B$58,".")</f>
        <v>16               IN      PTR     sia-MAIN_STCA146.name.cisco.com.</v>
      </c>
    </row>
    <row r="90" ht="13.5">
      <c r="A90" s="93" t="str">
        <f>CONCATENATE(RIGHT('NIDS DNS table'!$C$61,LEN('NIDS DNS table'!$C$61)-FIND(".",'NIDS DNS table'!$C$61,FIND(".",'NIDS DNS table'!$C$61,FIND(".",'NIDS DNS table'!$C$61)+1)+1)),REPT(" ",15),"IN      PTR     ",'NIDS DNS table'!$B$60,".")</f>
        <v>17               IN      PTR     h3a-MAIN_STCA146.name.cisco.com.</v>
      </c>
    </row>
    <row r="91" ht="13.5">
      <c r="A91" s="93" t="str">
        <f>CONCATENATE(RIGHT('NIDS DNS table'!$C$17,LEN('NIDS DNS table'!$C$17)-FIND(".",'NIDS DNS table'!$C$17,FIND(".",'NIDS DNS table'!$C$17,FIND(".",'NIDS DNS table'!$C$17)+1)+1)),REPT(" ",15),"IN      PTR     ",'NIDS DNS table'!$B$16,".")</f>
        <v>254               IN      PTR     broker-MAIN_ST.name.cisco.com.</v>
      </c>
    </row>
    <row r="92" ht="13.5">
      <c r="A92" s="93"/>
    </row>
    <row r="93" ht="13.5">
      <c r="A93" s="93"/>
    </row>
    <row r="94" ht="13.5">
      <c r="A94" s="93" t="s">
        <v>405</v>
      </c>
    </row>
    <row r="95" ht="13.5">
      <c r="A95" s="93" t="s">
        <v>410</v>
      </c>
    </row>
    <row r="96" ht="13.5">
      <c r="A96" s="93" t="s">
        <v>405</v>
      </c>
    </row>
    <row r="97" ht="13.5">
      <c r="A97" s="93"/>
    </row>
    <row r="98" ht="13.5">
      <c r="A98"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99" ht="13.5">
      <c r="A99" s="93" t="str">
        <f>CONCATENATE(RIGHT('NIDS DNS table'!$C$20,LEN('NIDS DNS table'!$C$20)-FIND(".",'NIDS DNS table'!$C$20,FIND(".",'NIDS DNS table'!$C$20,FIND(".",'NIDS DNS table'!$C$20)+1)+1)),REPT(" ",15),"IN      PTR     ",'NIDS DNS table'!$B$20,".")</f>
        <v>12               IN      PTR     red-aMAIN_STCA.name.cisco.com.</v>
      </c>
    </row>
    <row r="100" ht="13.5">
      <c r="A100" s="93" t="str">
        <f>CONCATENATE(RIGHT('NIDS DNS table'!$C$24,LEN('NIDS DNS table'!$C$24)-FIND(".",'NIDS DNS table'!$C$24,FIND(".",'NIDS DNS table'!$C$24,FIND(".",'NIDS DNS table'!$C$24)+1)+1)),REPT(" ",15),"IN      PTR     ",'NIDS DNS table'!$B$24,".")</f>
        <v>12               IN      PTR     red-aMAIN_STAIN.name.cisco.com.</v>
      </c>
    </row>
    <row r="101" ht="13.5">
      <c r="A101" s="93" t="str">
        <f>CONCATENATE(RIGHT('NIDS DNS table'!$C$28,LEN('NIDS DNS table'!$C$28)-FIND(".",'NIDS DNS table'!$C$28,FIND(".",'NIDS DNS table'!$C$28,FIND(".",'NIDS DNS table'!$C$28)+1)+1)),REPT(" ",15),"IN      PTR     ",'NIDS DNS table'!$B$28,".")</f>
        <v>12               IN      PTR     red-aMAIN_STPTC.name.cisco.com.</v>
      </c>
    </row>
    <row r="102" ht="13.5">
      <c r="A102" s="93" t="str">
        <f>CONCATENATE(RIGHT('NIDS DNS table'!$C$22,LEN('NIDS DNS table'!$C$22)-FIND(".",'NIDS DNS table'!$C$22,FIND(".",'NIDS DNS table'!$C$22,FIND(".",'NIDS DNS table'!$C$22)+1)+1)),REPT(" ",15),"IN      PTR     ",'NIDS DNS table'!$B$22,".")</f>
        <v>13               IN      PTR     red-bMAIN_STCA.name.cisco.com.</v>
      </c>
    </row>
    <row r="103" ht="13.5">
      <c r="A103" s="93" t="str">
        <f>CONCATENATE(RIGHT('NIDS DNS table'!$C$26,LEN('NIDS DNS table'!$C$26)-FIND(".",'NIDS DNS table'!$C$26,FIND(".",'NIDS DNS table'!$C$26,FIND(".",'NIDS DNS table'!$C$26)+1)+1)),REPT(" ",15),"IN      PTR     ",'NIDS DNS table'!$B$26,".")</f>
        <v>13               IN      PTR     red-bMAIN_STAIN.name.cisco.com.</v>
      </c>
    </row>
    <row r="104" ht="13.5">
      <c r="A104" s="93" t="str">
        <f>CONCATENATE(RIGHT('NIDS DNS table'!$C$30,LEN('NIDS DNS table'!$C$30)-FIND(".",'NIDS DNS table'!$C$30,FIND(".",'NIDS DNS table'!$C$30,FIND(".",'NIDS DNS table'!$C$30)+1)+1)),REPT(" ",15),"IN      PTR     ",'NIDS DNS table'!$B$30,".")</f>
        <v>13               IN      PTR     red-bMAIN_STPTC.name.cisco.com.</v>
      </c>
    </row>
    <row r="105" ht="13.5">
      <c r="A105" s="93"/>
    </row>
    <row r="106" ht="13.5">
      <c r="A106"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07" ht="13.5">
      <c r="A107" s="93" t="str">
        <f>CONCATENATE(RIGHT('NIDS DNS table'!$C$21,LEN('NIDS DNS table'!$C$21)-FIND(".",'NIDS DNS table'!$C$21,FIND(".",'NIDS DNS table'!$C$21,FIND(".",'NIDS DNS table'!$C$21)+1)+1)),REPT(" ",15),"IN      PTR     ",'NIDS DNS table'!$B$20,".")</f>
        <v>12               IN      PTR     red-aMAIN_STCA.name.cisco.com.</v>
      </c>
    </row>
    <row r="108" ht="13.5">
      <c r="A108" s="93" t="str">
        <f>CONCATENATE(RIGHT('NIDS DNS table'!$C$25,LEN('NIDS DNS table'!$C$25)-FIND(".",'NIDS DNS table'!$C$25,FIND(".",'NIDS DNS table'!$C$25,FIND(".",'NIDS DNS table'!$C$25)+1)+1)),REPT(" ",15),"IN      PTR     ",'NIDS DNS table'!$B$24,".")</f>
        <v>12               IN      PTR     red-aMAIN_STAIN.name.cisco.com.</v>
      </c>
    </row>
    <row r="109" ht="13.5">
      <c r="A109" s="93" t="str">
        <f>CONCATENATE(RIGHT('NIDS DNS table'!$C$29,LEN('NIDS DNS table'!$C$29)-FIND(".",'NIDS DNS table'!$C$29,FIND(".",'NIDS DNS table'!$C$29,FIND(".",'NIDS DNS table'!$C$29)+1)+1)),REPT(" ",15),"IN      PTR     ",'NIDS DNS table'!$B$28,".")</f>
        <v>12               IN      PTR     red-aMAIN_STPTC.name.cisco.com.</v>
      </c>
    </row>
    <row r="110" ht="13.5">
      <c r="A110" s="93" t="str">
        <f>CONCATENATE(RIGHT('NIDS DNS table'!$C$23,LEN('NIDS DNS table'!$C$23)-FIND(".",'NIDS DNS table'!$C$23,FIND(".",'NIDS DNS table'!$C$23,FIND(".",'NIDS DNS table'!$C$23)+1)+1)),REPT(" ",15),"IN      PTR     ",'NIDS DNS table'!$B$22,".")</f>
        <v>13               IN      PTR     red-bMAIN_STCA.name.cisco.com.</v>
      </c>
    </row>
    <row r="111" ht="13.5">
      <c r="A111" s="93" t="str">
        <f>CONCATENATE(RIGHT('NIDS DNS table'!$C$27,LEN('NIDS DNS table'!$C$27)-FIND(".",'NIDS DNS table'!$C$27,FIND(".",'NIDS DNS table'!$C$27,FIND(".",'NIDS DNS table'!$C$27)+1)+1)),REPT(" ",15),"IN      PTR     ",'NIDS DNS table'!$B$26,".")</f>
        <v>13               IN      PTR     red-bMAIN_STAIN.name.cisco.com.</v>
      </c>
    </row>
    <row r="112" ht="13.5">
      <c r="A112" s="93" t="str">
        <f>CONCATENATE(RIGHT('NIDS DNS table'!$C$31,LEN('NIDS DNS table'!$C$31)-FIND(".",'NIDS DNS table'!$C$31,FIND(".",'NIDS DNS table'!$C$31,FIND(".",'NIDS DNS table'!$C$31)+1)+1)),REPT(" ",15),"IN      PTR     ",'NIDS DNS table'!$B$30,".")</f>
        <v>13               IN      PTR     red-bMAIN_STPTC.name.cisco.com.</v>
      </c>
    </row>
    <row r="113" ht="13.5">
      <c r="A113" s="93"/>
    </row>
    <row r="114" ht="13.5">
      <c r="A114"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15" ht="13.5">
      <c r="A115" s="93" t="str">
        <f>CONCATENATE(RIGHT('NIDS DNS table'!$C$32,LEN('NIDS DNS table'!$C$32)-FIND(".",'NIDS DNS table'!$C$32,FIND(".",'NIDS DNS table'!$C$32,FIND(".",'NIDS DNS table'!$C$32)+1)+1)),REPT(" ",15),"IN      PTR     ",'NIDS DNS table'!$B$32,".")</f>
        <v>10               IN      PTR     red-aMAIN_STEMS.name.cisco.com.</v>
      </c>
    </row>
    <row r="116" ht="13.5">
      <c r="A116" s="93" t="str">
        <f>CONCATENATE(RIGHT('NIDS DNS table'!$C$36,LEN('NIDS DNS table'!$C$36)-FIND(".",'NIDS DNS table'!$C$36,FIND(".",'NIDS DNS table'!$C$36,FIND(".",'NIDS DNS table'!$C$36)+1)+1)),REPT(" ",15),"IN      PTR     ",'NIDS DNS table'!$B$36,".")</f>
        <v>10               IN      PTR     blg-aMAIN_STEMS.name.cisco.com.</v>
      </c>
    </row>
    <row r="117" ht="13.5">
      <c r="A117" s="93" t="str">
        <f>CONCATENATE(RIGHT('NIDS DNS table'!$C$114,LEN('NIDS DNS table'!$C$114)-FIND(".",'NIDS DNS table'!$C$114,FIND(".",'NIDS DNS table'!$C$114,FIND(".",'NIDS DNS table'!$C$114)+1)+1)),REPT(" ",15),"IN      PTR     ",'NIDS DNS table'!$B$114,".")</f>
        <v>10               IN      PTR     oms-aMAIN_STEMS.name.cisco.com.</v>
      </c>
    </row>
    <row r="118" ht="13.5">
      <c r="A118" s="93" t="str">
        <f>CONCATENATE(RIGHT('NIDS DNS table'!$C$34,LEN('NIDS DNS table'!$C$34)-FIND(".",'NIDS DNS table'!$C$34,FIND(".",'NIDS DNS table'!$C$34,FIND(".",'NIDS DNS table'!$C$34)+1)+1)),REPT(" ",15),"IN      PTR     ",'NIDS DNS table'!$B$34,".")</f>
        <v>11               IN      PTR     red-bMAIN_STEMS.name.cisco.com.</v>
      </c>
    </row>
    <row r="119" ht="13.5">
      <c r="A119" s="93" t="str">
        <f>CONCATENATE(RIGHT('NIDS DNS table'!$C$38,LEN('NIDS DNS table'!$C$38)-FIND(".",'NIDS DNS table'!$C$38,FIND(".",'NIDS DNS table'!$C$38,FIND(".",'NIDS DNS table'!$C$38)+1)+1)),REPT(" ",15),"IN      PTR     ",'NIDS DNS table'!$B$38,".")</f>
        <v>11               IN      PTR     blg-bMAIN_STEMS.name.cisco.com.</v>
      </c>
    </row>
    <row r="120" ht="13.5">
      <c r="A120" s="93" t="str">
        <f>CONCATENATE(RIGHT('NIDS DNS table'!$C$116,LEN('NIDS DNS table'!$C$116)-FIND(".",'NIDS DNS table'!$C$116,FIND(".",'NIDS DNS table'!$C$116,FIND(".",'NIDS DNS table'!$C$116)+1)+1)),REPT(" ",15),"IN      PTR     ",'NIDS DNS table'!$B$116,".")</f>
        <v>11               IN      PTR     oms-bMAIN_STEMS.name.cisco.com.</v>
      </c>
    </row>
    <row r="121" ht="13.5">
      <c r="A121" s="93" t="str">
        <f>CONCATENATE(RIGHT('NIDS DNS table'!$C$40,LEN('NIDS DNS table'!$C$40)-FIND(".",'NIDS DNS table'!$C$40,FIND(".",'NIDS DNS table'!$C$40,FIND(".",'NIDS DNS table'!$C$40)+1)+1)),REPT(" ",15),"IN      PTR     ",'NIDS DNS table'!$B$40,".")</f>
        <v>12               IN      PTR     blg-aMAIN_STCA.name.cisco.com.</v>
      </c>
    </row>
    <row r="122" ht="13.5">
      <c r="A122" s="93" t="str">
        <f>CONCATENATE(RIGHT('NIDS DNS table'!$C$102,LEN('NIDS DNS table'!$C$102)-FIND(".",'NIDS DNS table'!$C$102,FIND(".",'NIDS DNS table'!$C$102,FIND(".",'NIDS DNS table'!$C$102)+1)+1)),REPT(" ",15),"IN      PTR     ",'NIDS DNS table'!$B$102,".")</f>
        <v>12               IN      PTR     oms-aMAIN_STCA.name.cisco.com.</v>
      </c>
    </row>
    <row r="123" ht="13.5">
      <c r="A123" s="93" t="str">
        <f>CONCATENATE(RIGHT('NIDS DNS table'!$C$106,LEN('NIDS DNS table'!$C$106)-FIND(".",'NIDS DNS table'!$C$106,FIND(".",'NIDS DNS table'!$C$106,FIND(".",'NIDS DNS table'!$C$106)+1)+1)),REPT(" ",15),"IN      PTR     ",'NIDS DNS table'!$B$106,".")</f>
        <v>12               IN      PTR     oms-aMAIN_STAIN.name.cisco.com.</v>
      </c>
    </row>
    <row r="124" ht="13.5">
      <c r="A124" s="93" t="str">
        <f>CONCATENATE(RIGHT('NIDS DNS table'!$C$110,LEN('NIDS DNS table'!$C$110)-FIND(".",'NIDS DNS table'!$C$110,FIND(".",'NIDS DNS table'!$C$110,FIND(".",'NIDS DNS table'!$C$110)+1)+1)),REPT(" ",15),"IN      PTR     ",'NIDS DNS table'!$B$110,".")</f>
        <v>12               IN      PTR     oms-aMAIN_STPTC.name.cisco.com.</v>
      </c>
    </row>
    <row r="125" ht="13.5">
      <c r="A125" s="93" t="str">
        <f>CONCATENATE(RIGHT('NIDS DNS table'!$C$42,LEN('NIDS DNS table'!$C$42)-FIND(".",'NIDS DNS table'!$C$42,FIND(".",'NIDS DNS table'!$C$42,FIND(".",'NIDS DNS table'!$C$42)+1)+1)),REPT(" ",15),"IN      PTR     ",'NIDS DNS table'!$B$42,".")</f>
        <v>13               IN      PTR     blg-bMAIN_STCA.name.cisco.com.</v>
      </c>
    </row>
    <row r="126" ht="13.5">
      <c r="A126" s="93" t="str">
        <f>CONCATENATE(RIGHT('NIDS DNS table'!$C$104,LEN('NIDS DNS table'!$C$104)-FIND(".",'NIDS DNS table'!$C$104,FIND(".",'NIDS DNS table'!$C$104,FIND(".",'NIDS DNS table'!$C$104)+1)+1)),REPT(" ",15),"IN      PTR     ",'NIDS DNS table'!$B$104,".")</f>
        <v>13               IN      PTR     oms-bMAIN_STCA.name.cisco.com.</v>
      </c>
    </row>
    <row r="127" ht="13.5">
      <c r="A127" s="93" t="str">
        <f>CONCATENATE(RIGHT('NIDS DNS table'!$C$108,LEN('NIDS DNS table'!$C$108)-FIND(".",'NIDS DNS table'!$C$108,FIND(".",'NIDS DNS table'!$C$108,FIND(".",'NIDS DNS table'!$C$108)+1)+1)),REPT(" ",15),"IN      PTR     ",'NIDS DNS table'!$B$108,".")</f>
        <v>13               IN      PTR     oms-bMAIN_STAIN.name.cisco.com.</v>
      </c>
    </row>
    <row r="128" ht="13.5">
      <c r="A128" s="93" t="str">
        <f>CONCATENATE(RIGHT('NIDS DNS table'!$C$112,LEN('NIDS DNS table'!$C$112)-FIND(".",'NIDS DNS table'!$C$112,FIND(".",'NIDS DNS table'!$C$112,FIND(".",'NIDS DNS table'!$C$112)+1)+1)),REPT(" ",15),"IN      PTR     ",'NIDS DNS table'!$B$112,".")</f>
        <v>13               IN      PTR     oms-bMAIN_STPTC.name.cisco.com.</v>
      </c>
    </row>
    <row r="129" ht="13.5">
      <c r="A129" s="93"/>
    </row>
    <row r="130" ht="13.5">
      <c r="A130"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1" ht="13.5">
      <c r="A131" s="93" t="str">
        <f>CONCATENATE(RIGHT('NIDS DNS table'!$C$33,LEN('NIDS DNS table'!$C$33)-FIND(".",'NIDS DNS table'!$C$33,FIND(".",'NIDS DNS table'!$C$33,FIND(".",'NIDS DNS table'!$C$33)+1)+1)),REPT(" ",15),"IN      PTR     ",'NIDS DNS table'!$B$32,".")</f>
        <v>10               IN      PTR     red-aMAIN_STEMS.name.cisco.com.</v>
      </c>
    </row>
    <row r="132" ht="13.5">
      <c r="A132" s="93" t="str">
        <f>CONCATENATE(RIGHT('NIDS DNS table'!$C$37,LEN('NIDS DNS table'!$C$37)-FIND(".",'NIDS DNS table'!$C$37,FIND(".",'NIDS DNS table'!$C$37,FIND(".",'NIDS DNS table'!$C$37)+1)+1)),REPT(" ",15),"IN      PTR     ",'NIDS DNS table'!$B$36,".")</f>
        <v>10               IN      PTR     blg-aMAIN_STEMS.name.cisco.com.</v>
      </c>
    </row>
    <row r="133" ht="13.5">
      <c r="A133" s="93" t="str">
        <f>CONCATENATE(RIGHT('NIDS DNS table'!$C$115,LEN('NIDS DNS table'!$C$115)-FIND(".",'NIDS DNS table'!$C$115,FIND(".",'NIDS DNS table'!$C$115,FIND(".",'NIDS DNS table'!$C$115)+1)+1)),REPT(" ",15),"IN      PTR     ",'NIDS DNS table'!$B$114,".")</f>
        <v>10               IN      PTR     oms-aMAIN_STEMS.name.cisco.com.</v>
      </c>
    </row>
    <row r="134" ht="13.5">
      <c r="A134" s="93" t="str">
        <f>CONCATENATE(RIGHT('NIDS DNS table'!$C$35,LEN('NIDS DNS table'!$C$35)-FIND(".",'NIDS DNS table'!$C$35,FIND(".",'NIDS DNS table'!$C$35,FIND(".",'NIDS DNS table'!$C$35)+1)+1)),REPT(" ",15),"IN      PTR     ",'NIDS DNS table'!$B$34,".")</f>
        <v>11               IN      PTR     red-bMAIN_STEMS.name.cisco.com.</v>
      </c>
    </row>
    <row r="135" ht="13.5">
      <c r="A135" s="93" t="str">
        <f>CONCATENATE(RIGHT('NIDS DNS table'!$C$39,LEN('NIDS DNS table'!$C$39)-FIND(".",'NIDS DNS table'!$C$39,FIND(".",'NIDS DNS table'!$C$39,FIND(".",'NIDS DNS table'!$C$39)+1)+1)),REPT(" ",15),"IN      PTR     ",'NIDS DNS table'!$B$38,".")</f>
        <v>11               IN      PTR     blg-bMAIN_STEMS.name.cisco.com.</v>
      </c>
    </row>
    <row r="136" ht="13.5">
      <c r="A136" s="93" t="str">
        <f>CONCATENATE(RIGHT('NIDS DNS table'!$C$117,LEN('NIDS DNS table'!$C$117)-FIND(".",'NIDS DNS table'!$C$117,FIND(".",'NIDS DNS table'!$C$117,FIND(".",'NIDS DNS table'!$C$117)+1)+1)),REPT(" ",15),"IN      PTR     ",'NIDS DNS table'!$B$116,".")</f>
        <v>11               IN      PTR     oms-bMAIN_STEMS.name.cisco.com.</v>
      </c>
    </row>
    <row r="137" ht="13.5">
      <c r="A137" s="93" t="str">
        <f>CONCATENATE(RIGHT('NIDS DNS table'!$C$41,LEN('NIDS DNS table'!$C$41)-FIND(".",'NIDS DNS table'!$C$41,FIND(".",'NIDS DNS table'!$C$41,FIND(".",'NIDS DNS table'!$C$41)+1)+1)),REPT(" ",15),"IN      PTR     ",'NIDS DNS table'!$B$40,".")</f>
        <v>12               IN      PTR     blg-aMAIN_STCA.name.cisco.com.</v>
      </c>
    </row>
    <row r="138" ht="13.5">
      <c r="A138" s="93" t="str">
        <f>CONCATENATE(RIGHT('NIDS DNS table'!$C$103,LEN('NIDS DNS table'!$C$103)-FIND(".",'NIDS DNS table'!$C$103,FIND(".",'NIDS DNS table'!$C$103,FIND(".",'NIDS DNS table'!$C$103)+1)+1)),REPT(" ",15),"IN      PTR     ",'NIDS DNS table'!$B$102,".")</f>
        <v>12               IN      PTR     oms-aMAIN_STCA.name.cisco.com.</v>
      </c>
    </row>
    <row r="139" ht="13.5">
      <c r="A139" s="93" t="str">
        <f>CONCATENATE(RIGHT('NIDS DNS table'!$C$107,LEN('NIDS DNS table'!$C$107)-FIND(".",'NIDS DNS table'!$C$107,FIND(".",'NIDS DNS table'!$C$107,FIND(".",'NIDS DNS table'!$C$107)+1)+1)),REPT(" ",15),"IN      PTR     ",'NIDS DNS table'!$B$106,".")</f>
        <v>12               IN      PTR     oms-aMAIN_STAIN.name.cisco.com.</v>
      </c>
    </row>
    <row r="140" ht="13.5">
      <c r="A140" s="93" t="str">
        <f>CONCATENATE(RIGHT('NIDS DNS table'!$C$111,LEN('NIDS DNS table'!$C$111)-FIND(".",'NIDS DNS table'!$C$111,FIND(".",'NIDS DNS table'!$C$111,FIND(".",'NIDS DNS table'!$C$111)+1)+1)),REPT(" ",15),"IN      PTR     ",'NIDS DNS table'!$B$110,".")</f>
        <v>12               IN      PTR     oms-aMAIN_STPTC.name.cisco.com.</v>
      </c>
    </row>
    <row r="141" ht="13.5">
      <c r="A141" s="93" t="str">
        <f>CONCATENATE(RIGHT('NIDS DNS table'!$C$43,LEN('NIDS DNS table'!$C$43)-FIND(".",'NIDS DNS table'!$C$43,FIND(".",'NIDS DNS table'!$C$43,FIND(".",'NIDS DNS table'!$C$43)+1)+1)),REPT(" ",15),"IN      PTR     ",'NIDS DNS table'!$B$42,".")</f>
        <v>13               IN      PTR     blg-bMAIN_STCA.name.cisco.com.</v>
      </c>
    </row>
    <row r="142" ht="13.5">
      <c r="A142" s="93" t="str">
        <f>CONCATENATE(RIGHT('NIDS DNS table'!$C$105,LEN('NIDS DNS table'!$C$105)-FIND(".",'NIDS DNS table'!$C$105,FIND(".",'NIDS DNS table'!$C$105,FIND(".",'NIDS DNS table'!$C$105)+1)+1)),REPT(" ",15),"IN      PTR     ",'NIDS DNS table'!$B$104,".")</f>
        <v>13               IN      PTR     oms-bMAIN_STCA.name.cisco.com.</v>
      </c>
    </row>
    <row r="143" ht="13.5">
      <c r="A143" s="93" t="str">
        <f>CONCATENATE(RIGHT('NIDS DNS table'!$C$109,LEN('NIDS DNS table'!$C$109)-FIND(".",'NIDS DNS table'!$C$109,FIND(".",'NIDS DNS table'!$C$109,FIND(".",'NIDS DNS table'!$C$109)+1)+1)),REPT(" ",15),"IN      PTR     ",'NIDS DNS table'!$B$108,".")</f>
        <v>13               IN      PTR     oms-bMAIN_STAIN.name.cisco.com.</v>
      </c>
    </row>
    <row r="144" ht="13.5">
      <c r="A144" s="93" t="str">
        <f>CONCATENATE(RIGHT('NIDS DNS table'!$C$113,LEN('NIDS DNS table'!$C$113)-FIND(".",'NIDS DNS table'!$C$113,FIND(".",'NIDS DNS table'!$C$113,FIND(".",'NIDS DNS table'!$C$113)+1)+1)),REPT(" ",15),"IN      PTR     ",'NIDS DNS table'!$B$112,".")</f>
        <v>13               IN      PTR     oms-bMAIN_STPTC.name.cisco.com.</v>
      </c>
    </row>
    <row r="145" ht="13.5">
      <c r="A145" s="93"/>
    </row>
    <row r="146" ht="13.5">
      <c r="A146"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47" ht="13.5">
      <c r="A147" s="93" t="str">
        <f>CONCATENATE(RIGHT('NIDS DNS table'!$C$62,LEN('NIDS DNS table'!$C$62)-FIND(".",'NIDS DNS table'!$C$62,FIND(".",'NIDS DNS table'!$C$62,FIND(".",'NIDS DNS table'!$C$62)+1)+1)),REPT(" ",15),"IN      PTR     ",'NIDS DNS table'!$B$62,".")</f>
        <v>146               IN      PTR     sim-MAIN_STCA146.name.cisco.com.</v>
      </c>
    </row>
    <row r="148" ht="13.5">
      <c r="A148" s="93" t="str">
        <f>CONCATENATE(RIGHT('NIDS DNS table'!$C$76,LEN('NIDS DNS table'!$C$76)-FIND(".",'NIDS DNS table'!$C$76,FIND(".",'NIDS DNS table'!$C$76,FIND(".",'NIDS DNS table'!$C$76)+1)+1)),REPT(" ",15),"IN      PTR     ",'NIDS DNS table'!$B$76,".")</f>
        <v>205               IN      PTR     asm-MAIN_STAIN205.name.cisco.com.</v>
      </c>
    </row>
    <row r="149" ht="13.5">
      <c r="A149" s="93" t="str">
        <f>CONCATENATE(RIGHT('NIDS DNS table'!$C$86,LEN('NIDS DNS table'!$C$86)-FIND(".",'NIDS DNS table'!$C$86,FIND(".",'NIDS DNS table'!$C$86,FIND(".",'NIDS DNS table'!$C$86)+1)+1)),REPT(" ",15),"IN      PTR     ",'NIDS DNS table'!$B$86,".")</f>
        <v>235               IN      PTR     pots-MAIN_STPTC235.name.cisco.com.</v>
      </c>
    </row>
    <row r="150" ht="13.5">
      <c r="A150" s="93"/>
    </row>
    <row r="151" ht="13.5">
      <c r="A151"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52" ht="13.5">
      <c r="A152" s="93" t="str">
        <f>CONCATENATE(RIGHT('NIDS DNS table'!$C$63,LEN('NIDS DNS table'!$C$63)-FIND(".",'NIDS DNS table'!$C$63,FIND(".",'NIDS DNS table'!$C$63,FIND(".",'NIDS DNS table'!$C$63)+1)+1)),REPT(" ",15),"IN      PTR     ",'NIDS DNS table'!$B$62,".")</f>
        <v>146               IN      PTR     sim-MAIN_STCA146.name.cisco.com.</v>
      </c>
    </row>
    <row r="153" ht="13.5">
      <c r="A153" s="93" t="str">
        <f>CONCATENATE(RIGHT('NIDS DNS table'!$C$77,LEN('NIDS DNS table'!$C$77)-FIND(".",'NIDS DNS table'!$C$77,FIND(".",'NIDS DNS table'!$C$77,FIND(".",'NIDS DNS table'!$C$77)+1)+1)),REPT(" ",15),"IN      PTR     ",'NIDS DNS table'!$B$76,".")</f>
        <v>205               IN      PTR     asm-MAIN_STAIN205.name.cisco.com.</v>
      </c>
    </row>
    <row r="154" ht="13.5">
      <c r="A154" s="93" t="str">
        <f>CONCATENATE(RIGHT('NIDS DNS table'!$C$87,LEN('NIDS DNS table'!$C$87)-FIND(".",'NIDS DNS table'!$C$87,FIND(".",'NIDS DNS table'!$C$87,FIND(".",'NIDS DNS table'!$C$87)+1)+1)),REPT(" ",15),"IN      PTR     ",'NIDS DNS table'!$B$86,".")</f>
        <v>235               IN      PTR     pots-MAIN_STPTC235.name.cisco.com.</v>
      </c>
    </row>
    <row r="155" ht="13.5">
      <c r="A155"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23"/>
  <sheetViews>
    <sheetView workbookViewId="0" topLeftCell="A1">
      <selection activeCell="A20" sqref="A20"/>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192" t="s">
        <v>450</v>
      </c>
      <c r="B2" s="192"/>
      <c r="C2" s="192"/>
      <c r="D2" s="125" t="str">
        <f>B8</f>
        <v>Rev 1</v>
      </c>
      <c r="E2" s="126"/>
      <c r="F2" s="126"/>
    </row>
    <row r="4" spans="1:4" ht="15.75">
      <c r="A4" s="127" t="s">
        <v>451</v>
      </c>
      <c r="B4" s="128"/>
      <c r="C4" s="128"/>
      <c r="D4" s="129"/>
    </row>
    <row r="5" spans="1:4" ht="11.25">
      <c r="A5" s="23"/>
      <c r="B5" s="18"/>
      <c r="C5" s="18"/>
      <c r="D5" s="19"/>
    </row>
    <row r="6" spans="1:4" ht="11.25">
      <c r="A6" s="23" t="s">
        <v>174</v>
      </c>
      <c r="B6" s="18" t="s">
        <v>175</v>
      </c>
      <c r="C6" s="18" t="s">
        <v>597</v>
      </c>
      <c r="D6" s="19" t="s">
        <v>176</v>
      </c>
    </row>
    <row r="7" spans="1:4" ht="11.25">
      <c r="A7" s="23"/>
      <c r="B7" s="18"/>
      <c r="C7" s="18"/>
      <c r="D7" s="19"/>
    </row>
    <row r="8" spans="1:256" ht="11.25">
      <c r="A8" s="24">
        <v>38461</v>
      </c>
      <c r="B8" s="20" t="s">
        <v>583</v>
      </c>
      <c r="D8" s="21" t="s">
        <v>452</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584</v>
      </c>
      <c r="D9" s="21" t="s">
        <v>466</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2">
        <v>38561</v>
      </c>
      <c r="B10" s="133" t="s">
        <v>585</v>
      </c>
      <c r="C10" s="133"/>
      <c r="D10" s="134" t="s">
        <v>516</v>
      </c>
    </row>
    <row r="11" spans="1:256" ht="11.25">
      <c r="A11" s="24">
        <v>38588</v>
      </c>
      <c r="B11" s="20" t="s">
        <v>586</v>
      </c>
      <c r="D11" s="21" t="s">
        <v>577</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2">
        <v>38608</v>
      </c>
      <c r="B12" s="133" t="s">
        <v>587</v>
      </c>
      <c r="C12" s="133"/>
      <c r="D12" s="134" t="s">
        <v>578</v>
      </c>
    </row>
    <row r="13" spans="1:256" ht="11.25">
      <c r="A13" s="24">
        <v>38611</v>
      </c>
      <c r="B13" s="20" t="s">
        <v>588</v>
      </c>
      <c r="C13" s="133"/>
      <c r="D13" s="21" t="s">
        <v>579</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589</v>
      </c>
      <c r="C14" s="133"/>
      <c r="D14" s="21" t="s">
        <v>593</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594</v>
      </c>
      <c r="C15" s="133"/>
      <c r="D15" s="21" t="s">
        <v>592</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38259</v>
      </c>
      <c r="B16" s="20" t="s">
        <v>590</v>
      </c>
      <c r="C16" s="133"/>
      <c r="D16" s="21" t="s">
        <v>599</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591</v>
      </c>
      <c r="C17" s="133" t="s">
        <v>598</v>
      </c>
      <c r="D17" s="21" t="s">
        <v>580</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595</v>
      </c>
      <c r="C18" s="133" t="s">
        <v>598</v>
      </c>
      <c r="D18" s="21" t="s">
        <v>581</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596</v>
      </c>
      <c r="C19" s="133"/>
      <c r="D19" s="21" t="s">
        <v>582</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600</v>
      </c>
      <c r="C20" s="20" t="s">
        <v>598</v>
      </c>
      <c r="D20" s="21" t="s">
        <v>602</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5:256" ht="11.25">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5:256" ht="11.25">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5:256" ht="11.25">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sheetData>
  <sheetProtection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17"/>
  <sheetViews>
    <sheetView showGridLines="0" tabSelected="1" workbookViewId="0" topLeftCell="A1">
      <selection activeCell="F6" sqref="F6"/>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387</v>
      </c>
      <c r="F1" s="36"/>
    </row>
    <row r="2" spans="1:4" ht="23.25" customHeight="1">
      <c r="A2" s="37"/>
      <c r="B2" s="152" t="s">
        <v>601</v>
      </c>
      <c r="C2" s="39"/>
      <c r="D2" s="145"/>
    </row>
    <row r="3" spans="1:7" ht="12.75">
      <c r="A3" s="37"/>
      <c r="B3" s="38" t="s">
        <v>183</v>
      </c>
      <c r="C3" s="181"/>
      <c r="D3" s="182"/>
      <c r="E3" s="33"/>
      <c r="G3" s="35"/>
    </row>
    <row r="4" spans="1:7" ht="12.75">
      <c r="A4" s="37"/>
      <c r="B4" s="38" t="s">
        <v>184</v>
      </c>
      <c r="C4" s="181"/>
      <c r="D4" s="182"/>
      <c r="E4" s="34"/>
      <c r="G4" s="35"/>
    </row>
    <row r="5" spans="1:4" ht="23.25" customHeight="1">
      <c r="A5" s="37"/>
      <c r="B5" s="37" t="s">
        <v>388</v>
      </c>
      <c r="C5" s="39"/>
      <c r="D5" s="39"/>
    </row>
    <row r="6" spans="2:4" ht="12.75">
      <c r="B6" s="38" t="s">
        <v>367</v>
      </c>
      <c r="C6" s="181"/>
      <c r="D6" s="182"/>
    </row>
    <row r="7" spans="2:4" ht="12.75">
      <c r="B7" s="38" t="s">
        <v>185</v>
      </c>
      <c r="C7" s="181"/>
      <c r="D7" s="182"/>
    </row>
    <row r="8" spans="2:4" ht="12.75">
      <c r="B8" s="38" t="s">
        <v>187</v>
      </c>
      <c r="C8" s="179"/>
      <c r="D8" s="180"/>
    </row>
    <row r="9" ht="12.75"/>
    <row r="10" spans="2:5" ht="12.75">
      <c r="B10" s="14" t="s">
        <v>238</v>
      </c>
      <c r="C10" s="160" t="s">
        <v>177</v>
      </c>
      <c r="D10" s="161"/>
      <c r="E10" s="15" t="s">
        <v>354</v>
      </c>
    </row>
    <row r="11" spans="2:5" ht="12.75">
      <c r="B11" s="2" t="s">
        <v>394</v>
      </c>
      <c r="C11" s="147" t="s">
        <v>186</v>
      </c>
      <c r="D11" s="100"/>
      <c r="E11" s="29" t="s">
        <v>186</v>
      </c>
    </row>
    <row r="12" spans="2:5" ht="12.75">
      <c r="B12" s="2" t="s">
        <v>188</v>
      </c>
      <c r="C12" s="27" t="s">
        <v>299</v>
      </c>
      <c r="D12" s="101"/>
      <c r="E12" s="29" t="s">
        <v>299</v>
      </c>
    </row>
    <row r="13" spans="2:5" ht="12.75">
      <c r="B13" s="2" t="s">
        <v>341</v>
      </c>
      <c r="C13" s="27" t="s">
        <v>465</v>
      </c>
      <c r="D13" s="101"/>
      <c r="E13" s="29" t="s">
        <v>465</v>
      </c>
    </row>
    <row r="14" spans="2:5" ht="12.75">
      <c r="B14" s="2" t="s">
        <v>234</v>
      </c>
      <c r="C14" s="27" t="s">
        <v>180</v>
      </c>
      <c r="D14" s="101"/>
      <c r="E14" s="30" t="s">
        <v>180</v>
      </c>
    </row>
    <row r="15" spans="2:5" ht="12.75">
      <c r="B15" s="2" t="s">
        <v>235</v>
      </c>
      <c r="C15" s="27" t="s">
        <v>390</v>
      </c>
      <c r="D15" s="101"/>
      <c r="E15" s="30" t="s">
        <v>390</v>
      </c>
    </row>
    <row r="16" spans="2:5" ht="12.75">
      <c r="B16" s="2" t="s">
        <v>236</v>
      </c>
      <c r="C16" s="27" t="s">
        <v>181</v>
      </c>
      <c r="D16" s="101"/>
      <c r="E16" s="30" t="s">
        <v>181</v>
      </c>
    </row>
    <row r="17" spans="2:5" ht="12.75">
      <c r="B17" s="2" t="s">
        <v>237</v>
      </c>
      <c r="C17" s="27" t="s">
        <v>391</v>
      </c>
      <c r="D17" s="101"/>
      <c r="E17" s="30" t="s">
        <v>391</v>
      </c>
    </row>
    <row r="18" spans="2:6" ht="12.75">
      <c r="B18" s="2" t="s">
        <v>377</v>
      </c>
      <c r="C18" s="27" t="s">
        <v>230</v>
      </c>
      <c r="D18" s="102"/>
      <c r="E18" s="30" t="s">
        <v>230</v>
      </c>
      <c r="F18" s="42"/>
    </row>
    <row r="19" spans="2:10" ht="12.75">
      <c r="B19" s="2" t="s">
        <v>378</v>
      </c>
      <c r="C19" s="27" t="s">
        <v>231</v>
      </c>
      <c r="D19" s="101"/>
      <c r="E19" s="29" t="s">
        <v>231</v>
      </c>
      <c r="J19" s="43"/>
    </row>
    <row r="20" spans="2:5" ht="12.75">
      <c r="B20" s="2" t="s">
        <v>240</v>
      </c>
      <c r="C20" s="27" t="s">
        <v>245</v>
      </c>
      <c r="D20" s="101"/>
      <c r="E20" s="29" t="s">
        <v>245</v>
      </c>
    </row>
    <row r="21" spans="2:5" ht="12.75">
      <c r="B21" s="2" t="s">
        <v>241</v>
      </c>
      <c r="C21" s="27" t="s">
        <v>245</v>
      </c>
      <c r="D21" s="101"/>
      <c r="E21" s="29" t="s">
        <v>245</v>
      </c>
    </row>
    <row r="22" spans="2:7" ht="12.75">
      <c r="B22" s="2" t="s">
        <v>381</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382</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379</v>
      </c>
      <c r="C24" s="27" t="s">
        <v>232</v>
      </c>
      <c r="D24" s="101"/>
      <c r="E24" s="29" t="s">
        <v>232</v>
      </c>
      <c r="F24" s="105"/>
      <c r="G24" s="104"/>
    </row>
    <row r="25" spans="2:7" ht="12.75">
      <c r="B25" s="2" t="s">
        <v>380</v>
      </c>
      <c r="C25" s="27" t="s">
        <v>233</v>
      </c>
      <c r="D25" s="101"/>
      <c r="E25" s="29" t="s">
        <v>233</v>
      </c>
      <c r="F25" s="103"/>
      <c r="G25" s="104"/>
    </row>
    <row r="26" spans="2:7" ht="12.75">
      <c r="B26" s="2" t="s">
        <v>178</v>
      </c>
      <c r="C26" s="27" t="s">
        <v>245</v>
      </c>
      <c r="D26" s="101"/>
      <c r="E26" s="29" t="s">
        <v>245</v>
      </c>
      <c r="F26" s="103"/>
      <c r="G26" s="104"/>
    </row>
    <row r="27" spans="2:7" ht="12.75">
      <c r="B27" s="2" t="s">
        <v>179</v>
      </c>
      <c r="C27" s="27" t="s">
        <v>245</v>
      </c>
      <c r="D27" s="101"/>
      <c r="E27" s="29" t="s">
        <v>245</v>
      </c>
      <c r="F27" s="103"/>
      <c r="G27" s="104"/>
    </row>
    <row r="28" spans="2:7" ht="12.75">
      <c r="B28" s="2" t="s">
        <v>383</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384</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251</v>
      </c>
      <c r="C30" s="27" t="s">
        <v>252</v>
      </c>
      <c r="D30" s="101"/>
      <c r="E30" s="16" t="s">
        <v>252</v>
      </c>
    </row>
    <row r="31" spans="2:5" ht="12.75">
      <c r="B31" s="2" t="s">
        <v>370</v>
      </c>
      <c r="C31" s="27" t="s">
        <v>247</v>
      </c>
      <c r="D31" s="101"/>
      <c r="E31" s="16" t="s">
        <v>247</v>
      </c>
    </row>
    <row r="32" spans="2:5" ht="12.75">
      <c r="B32" s="2" t="s">
        <v>371</v>
      </c>
      <c r="C32" s="27" t="s">
        <v>248</v>
      </c>
      <c r="D32" s="101"/>
      <c r="E32" s="16" t="s">
        <v>248</v>
      </c>
    </row>
    <row r="33" spans="2:5" ht="12.75">
      <c r="B33" s="2" t="s">
        <v>372</v>
      </c>
      <c r="C33" s="26" t="s">
        <v>249</v>
      </c>
      <c r="D33" s="101"/>
      <c r="E33" s="16" t="s">
        <v>249</v>
      </c>
    </row>
    <row r="34" spans="2:5" ht="12.75">
      <c r="B34" s="2" t="s">
        <v>373</v>
      </c>
      <c r="C34" s="27" t="s">
        <v>250</v>
      </c>
      <c r="D34" s="101"/>
      <c r="E34" s="16" t="s">
        <v>250</v>
      </c>
    </row>
    <row r="35" spans="2:6" ht="12.75">
      <c r="B35" s="2" t="s">
        <v>62</v>
      </c>
      <c r="C35" s="27" t="s">
        <v>246</v>
      </c>
      <c r="D35" s="101"/>
      <c r="E35" s="16" t="s">
        <v>246</v>
      </c>
      <c r="F35" s="42"/>
    </row>
    <row r="36" spans="2:5" ht="12.75">
      <c r="B36" s="2" t="s">
        <v>397</v>
      </c>
      <c r="C36" s="146" t="s">
        <v>392</v>
      </c>
      <c r="D36" s="101"/>
      <c r="E36" s="16" t="s">
        <v>392</v>
      </c>
    </row>
    <row r="37" spans="2:5" ht="12.75">
      <c r="B37" s="2" t="s">
        <v>398</v>
      </c>
      <c r="C37" s="146" t="s">
        <v>393</v>
      </c>
      <c r="D37" s="101"/>
      <c r="E37" s="16" t="s">
        <v>393</v>
      </c>
    </row>
    <row r="38" spans="2:5" ht="12.75">
      <c r="B38" s="2" t="s">
        <v>401</v>
      </c>
      <c r="C38" s="146" t="s">
        <v>392</v>
      </c>
      <c r="D38" s="101"/>
      <c r="E38" s="16" t="s">
        <v>392</v>
      </c>
    </row>
    <row r="39" spans="2:5" ht="12.75">
      <c r="B39" s="2" t="s">
        <v>402</v>
      </c>
      <c r="C39" s="146" t="s">
        <v>393</v>
      </c>
      <c r="D39" s="101"/>
      <c r="E39" s="16" t="s">
        <v>393</v>
      </c>
    </row>
    <row r="40" spans="2:5" ht="12.75">
      <c r="B40" s="2" t="s">
        <v>399</v>
      </c>
      <c r="C40" s="146" t="s">
        <v>403</v>
      </c>
      <c r="D40" s="101"/>
      <c r="E40" s="16" t="s">
        <v>403</v>
      </c>
    </row>
    <row r="41" spans="2:5" ht="12.75">
      <c r="B41" s="2" t="s">
        <v>400</v>
      </c>
      <c r="C41" s="27" t="s">
        <v>404</v>
      </c>
      <c r="D41" s="101"/>
      <c r="E41" s="16" t="s">
        <v>404</v>
      </c>
    </row>
    <row r="42" spans="2:8" ht="12.75">
      <c r="B42" s="2" t="s">
        <v>339</v>
      </c>
      <c r="C42" s="27" t="s">
        <v>337</v>
      </c>
      <c r="D42" s="101"/>
      <c r="E42" s="17" t="s">
        <v>337</v>
      </c>
      <c r="H42" s="44"/>
    </row>
    <row r="43" spans="2:8" ht="12.75">
      <c r="B43" s="2" t="s">
        <v>340</v>
      </c>
      <c r="C43" s="27" t="s">
        <v>338</v>
      </c>
      <c r="D43" s="101"/>
      <c r="E43" s="17" t="s">
        <v>338</v>
      </c>
      <c r="H43" s="44"/>
    </row>
    <row r="44" spans="2:8" s="40" customFormat="1" ht="6" customHeight="1">
      <c r="B44" s="45"/>
      <c r="C44" s="46"/>
      <c r="D44" s="46"/>
      <c r="E44" s="47"/>
      <c r="F44" s="48"/>
      <c r="G44" s="47"/>
      <c r="H44" s="44"/>
    </row>
    <row r="45" spans="2:8" ht="12.75">
      <c r="B45" s="2" t="s">
        <v>342</v>
      </c>
      <c r="C45" s="148" t="s">
        <v>365</v>
      </c>
      <c r="D45" s="101"/>
      <c r="E45" s="17" t="s">
        <v>365</v>
      </c>
      <c r="H45" s="44"/>
    </row>
    <row r="46" spans="2:5" ht="12.75">
      <c r="B46" s="2" t="s">
        <v>343</v>
      </c>
      <c r="C46" s="27" t="s">
        <v>357</v>
      </c>
      <c r="D46" s="101"/>
      <c r="E46" s="17" t="s">
        <v>357</v>
      </c>
    </row>
    <row r="47" spans="2:5" ht="12.75">
      <c r="B47" s="2" t="s">
        <v>424</v>
      </c>
      <c r="C47" s="27" t="s">
        <v>365</v>
      </c>
      <c r="D47" s="101"/>
      <c r="E47" s="17" t="s">
        <v>365</v>
      </c>
    </row>
    <row r="48" spans="2:5" ht="12.75">
      <c r="B48" s="2" t="s">
        <v>421</v>
      </c>
      <c r="C48" s="27" t="s">
        <v>422</v>
      </c>
      <c r="D48" s="101"/>
      <c r="E48" s="17" t="s">
        <v>422</v>
      </c>
    </row>
    <row r="49" spans="2:5" ht="12.75">
      <c r="B49" s="2" t="s">
        <v>344</v>
      </c>
      <c r="C49" s="27" t="s">
        <v>357</v>
      </c>
      <c r="D49" s="101"/>
      <c r="E49" s="17" t="s">
        <v>357</v>
      </c>
    </row>
    <row r="50" spans="2:5" ht="12.75">
      <c r="B50" s="2" t="s">
        <v>345</v>
      </c>
      <c r="C50" s="27" t="s">
        <v>365</v>
      </c>
      <c r="D50" s="101"/>
      <c r="E50" s="17" t="s">
        <v>365</v>
      </c>
    </row>
    <row r="51" spans="2:5" ht="12.75">
      <c r="B51" s="2" t="s">
        <v>346</v>
      </c>
      <c r="C51" s="27" t="s">
        <v>351</v>
      </c>
      <c r="D51" s="101"/>
      <c r="E51" s="17" t="s">
        <v>351</v>
      </c>
    </row>
    <row r="52" spans="2:5" ht="12.75">
      <c r="B52" s="2" t="s">
        <v>347</v>
      </c>
      <c r="C52" s="27">
        <v>1</v>
      </c>
      <c r="D52" s="101"/>
      <c r="E52" s="17">
        <v>1</v>
      </c>
    </row>
    <row r="53" spans="2:9" ht="12.75">
      <c r="B53" s="2" t="s">
        <v>284</v>
      </c>
      <c r="C53" s="27" t="s">
        <v>285</v>
      </c>
      <c r="D53" s="101"/>
      <c r="E53" s="17" t="s">
        <v>285</v>
      </c>
      <c r="H53" s="44"/>
      <c r="I53" s="49"/>
    </row>
    <row r="54" spans="2:9" ht="12.75">
      <c r="B54" s="2" t="s">
        <v>348</v>
      </c>
      <c r="C54" s="27">
        <v>146</v>
      </c>
      <c r="D54" s="101"/>
      <c r="E54" s="17">
        <v>146</v>
      </c>
      <c r="H54" s="44"/>
      <c r="I54" s="50"/>
    </row>
    <row r="55" spans="2:5" ht="12.75">
      <c r="B55" s="2" t="s">
        <v>349</v>
      </c>
      <c r="C55" s="27">
        <v>205</v>
      </c>
      <c r="D55" s="101"/>
      <c r="E55" s="17">
        <v>205</v>
      </c>
    </row>
    <row r="56" spans="2:5" ht="12.75">
      <c r="B56" s="2" t="s">
        <v>350</v>
      </c>
      <c r="C56" s="27">
        <v>235</v>
      </c>
      <c r="D56" s="101"/>
      <c r="E56" s="17">
        <v>235</v>
      </c>
    </row>
    <row r="57" spans="2:5" ht="12.75">
      <c r="B57" s="2" t="s">
        <v>352</v>
      </c>
      <c r="C57" s="149" t="str">
        <f>CONCATENATE("broker-",$C$11,".",$C$30)</f>
        <v>broker-MAIN_ST.name.cisco.com</v>
      </c>
      <c r="D57" s="150"/>
      <c r="E57" s="17" t="s">
        <v>355</v>
      </c>
    </row>
    <row r="58" spans="2:5" ht="12.75">
      <c r="B58" s="2" t="s">
        <v>353</v>
      </c>
      <c r="C58" s="149" t="str">
        <f>CONCATENATE("brokerems-",$C$11,".",$C$30)</f>
        <v>brokerems-MAIN_ST.name.cisco.com</v>
      </c>
      <c r="D58" s="151"/>
      <c r="E58" s="17" t="s">
        <v>356</v>
      </c>
    </row>
    <row r="59" spans="2:4" ht="12.75">
      <c r="B59" s="45"/>
      <c r="C59" s="51"/>
      <c r="D59" s="35"/>
    </row>
    <row r="60" spans="2:4" ht="12.75">
      <c r="B60" s="45"/>
      <c r="C60" s="51"/>
      <c r="D60" s="35"/>
    </row>
    <row r="61" spans="1:5" ht="16.5">
      <c r="A61" s="41"/>
      <c r="B61" s="41" t="s">
        <v>358</v>
      </c>
      <c r="C61" s="51"/>
      <c r="D61" s="51"/>
      <c r="E61" s="52"/>
    </row>
    <row r="62" ht="12.75">
      <c r="B62" s="37"/>
    </row>
    <row r="63" ht="12.75">
      <c r="B63" s="37" t="s">
        <v>253</v>
      </c>
    </row>
    <row r="64" ht="4.5" customHeight="1">
      <c r="E64" s="48"/>
    </row>
    <row r="65" spans="2:8" ht="12.75" customHeight="1">
      <c r="B65" s="177" t="s">
        <v>254</v>
      </c>
      <c r="C65" s="173" t="s">
        <v>255</v>
      </c>
      <c r="D65" s="174"/>
      <c r="E65" s="158" t="s">
        <v>182</v>
      </c>
      <c r="F65" s="160" t="s">
        <v>256</v>
      </c>
      <c r="G65" s="161"/>
      <c r="H65" s="164" t="s">
        <v>239</v>
      </c>
    </row>
    <row r="66" spans="2:8" ht="25.5">
      <c r="B66" s="178"/>
      <c r="C66" s="175"/>
      <c r="D66" s="176"/>
      <c r="E66" s="159"/>
      <c r="F66" s="62" t="s">
        <v>199</v>
      </c>
      <c r="G66" s="63" t="s">
        <v>200</v>
      </c>
      <c r="H66" s="165"/>
    </row>
    <row r="67" spans="2:8" ht="12.75">
      <c r="B67" s="3" t="s">
        <v>257</v>
      </c>
      <c r="C67" s="166" t="str">
        <f>CONCATENATE($C$32,"-nms1")</f>
        <v>priems-nms1</v>
      </c>
      <c r="D67" s="167"/>
      <c r="E67" s="7" t="str">
        <f>$C$36</f>
        <v>ce0</v>
      </c>
      <c r="F67" s="8" t="str">
        <f>CONCATENATE($C$18,".")</f>
        <v>10.89.223.</v>
      </c>
      <c r="G67" s="22">
        <v>10</v>
      </c>
      <c r="H67" s="170" t="str">
        <f>CONCATENATE($C$18,".",$D$22)</f>
        <v>10.89.223.254</v>
      </c>
    </row>
    <row r="68" spans="2:8" ht="12.75">
      <c r="B68" s="3" t="s">
        <v>553</v>
      </c>
      <c r="C68" s="166" t="str">
        <f>CONCATENATE($C$34,"-nms1")</f>
        <v>secems-nms1</v>
      </c>
      <c r="D68" s="167"/>
      <c r="E68" s="7" t="str">
        <f>$C$36</f>
        <v>ce0</v>
      </c>
      <c r="F68" s="8" t="str">
        <f>CONCATENATE($C$18,".")</f>
        <v>10.89.223.</v>
      </c>
      <c r="G68" s="22">
        <f>G67+1</f>
        <v>11</v>
      </c>
      <c r="H68" s="171"/>
    </row>
    <row r="69" spans="2:8" ht="12.75">
      <c r="B69" s="3" t="s">
        <v>258</v>
      </c>
      <c r="C69" s="166" t="str">
        <f>CONCATENATE($C$31,"-nms1")</f>
        <v>prica-nms1</v>
      </c>
      <c r="D69" s="167"/>
      <c r="E69" s="7" t="str">
        <f>$C$40</f>
        <v>qfe0</v>
      </c>
      <c r="F69" s="8" t="str">
        <f>CONCATENATE($C$18,".")</f>
        <v>10.89.223.</v>
      </c>
      <c r="G69" s="22">
        <f>G68+1</f>
        <v>12</v>
      </c>
      <c r="H69" s="171"/>
    </row>
    <row r="70" spans="2:8" ht="12.75">
      <c r="B70" s="5" t="s">
        <v>554</v>
      </c>
      <c r="C70" s="166" t="str">
        <f>CONCATENATE($C$33,"-nms1")</f>
        <v>secca-nms1</v>
      </c>
      <c r="D70" s="167"/>
      <c r="E70" s="7" t="str">
        <f>$C$40</f>
        <v>qfe0</v>
      </c>
      <c r="F70" s="8" t="str">
        <f>CONCATENATE($C$18,".")</f>
        <v>10.89.223.</v>
      </c>
      <c r="G70" s="22">
        <f>G69+1</f>
        <v>13</v>
      </c>
      <c r="H70" s="172"/>
    </row>
    <row r="71" spans="2:7" ht="12.75">
      <c r="B71" s="53"/>
      <c r="C71" s="54"/>
      <c r="D71" s="54"/>
      <c r="E71" s="55"/>
      <c r="F71" s="48"/>
      <c r="G71" s="56"/>
    </row>
    <row r="72" spans="2:7" ht="12.75">
      <c r="B72" s="37" t="s">
        <v>259</v>
      </c>
      <c r="C72" s="47"/>
      <c r="D72" s="47"/>
      <c r="F72" s="34"/>
      <c r="G72" s="35"/>
    </row>
    <row r="73" spans="3:7" ht="4.5" customHeight="1">
      <c r="C73" s="47"/>
      <c r="D73" s="47"/>
      <c r="F73" s="34"/>
      <c r="G73" s="48"/>
    </row>
    <row r="74" spans="2:8" ht="12.75" customHeight="1">
      <c r="B74" s="177" t="s">
        <v>254</v>
      </c>
      <c r="C74" s="173" t="s">
        <v>255</v>
      </c>
      <c r="D74" s="174"/>
      <c r="E74" s="158" t="s">
        <v>182</v>
      </c>
      <c r="F74" s="160" t="s">
        <v>256</v>
      </c>
      <c r="G74" s="161"/>
      <c r="H74" s="164" t="s">
        <v>239</v>
      </c>
    </row>
    <row r="75" spans="2:8" ht="25.5">
      <c r="B75" s="178"/>
      <c r="C75" s="175"/>
      <c r="D75" s="176"/>
      <c r="E75" s="159"/>
      <c r="F75" s="62" t="s">
        <v>244</v>
      </c>
      <c r="G75" s="63" t="s">
        <v>200</v>
      </c>
      <c r="H75" s="165"/>
    </row>
    <row r="76" spans="2:8" ht="12.75">
      <c r="B76" s="3" t="s">
        <v>257</v>
      </c>
      <c r="C76" s="166" t="str">
        <f>CONCATENATE($C$32,"-nms2")</f>
        <v>priems-nms2</v>
      </c>
      <c r="D76" s="167"/>
      <c r="E76" s="7" t="str">
        <f>$C$37</f>
        <v>ce1</v>
      </c>
      <c r="F76" s="8" t="str">
        <f>IF($C$19&lt;&gt;"",CONCATENATE($C$19,"."),"")</f>
        <v>10.89.224.</v>
      </c>
      <c r="G76" s="22">
        <f>IF($C$19&lt;&gt;"",G67,"")</f>
        <v>10</v>
      </c>
      <c r="H76" s="170" t="str">
        <f>IF($C$19&lt;&gt;"",CONCATENATE($C$19,".",$D$23),"")</f>
        <v>10.89.224.254</v>
      </c>
    </row>
    <row r="77" spans="2:8" ht="12.75">
      <c r="B77" s="3" t="s">
        <v>553</v>
      </c>
      <c r="C77" s="166" t="str">
        <f>CONCATENATE($C$34,"-nms2")</f>
        <v>secems-nms2</v>
      </c>
      <c r="D77" s="167"/>
      <c r="E77" s="7" t="str">
        <f>$C$37</f>
        <v>ce1</v>
      </c>
      <c r="F77" s="8" t="str">
        <f>IF($C$19&lt;&gt;"",CONCATENATE($C$19,"."),"")</f>
        <v>10.89.224.</v>
      </c>
      <c r="G77" s="22">
        <f>IF($C$19&lt;&gt;"",G76+1,"")</f>
        <v>11</v>
      </c>
      <c r="H77" s="171"/>
    </row>
    <row r="78" spans="2:8" ht="12.75">
      <c r="B78" s="3" t="s">
        <v>258</v>
      </c>
      <c r="C78" s="166" t="str">
        <f>CONCATENATE($C$31,"-nms2")</f>
        <v>prica-nms2</v>
      </c>
      <c r="D78" s="167"/>
      <c r="E78" s="7" t="str">
        <f>$C$41</f>
        <v>qfe1</v>
      </c>
      <c r="F78" s="8" t="str">
        <f>IF($C$19&lt;&gt;"",CONCATENATE($C$19,"."),"")</f>
        <v>10.89.224.</v>
      </c>
      <c r="G78" s="22">
        <f>IF($C$19&lt;&gt;"",G77+1,"")</f>
        <v>12</v>
      </c>
      <c r="H78" s="171"/>
    </row>
    <row r="79" spans="2:8" ht="12.75">
      <c r="B79" s="5" t="s">
        <v>554</v>
      </c>
      <c r="C79" s="166" t="str">
        <f>CONCATENATE($C$33,"-nms2")</f>
        <v>secca-nms2</v>
      </c>
      <c r="D79" s="167"/>
      <c r="E79" s="7" t="str">
        <f>$C$41</f>
        <v>qfe1</v>
      </c>
      <c r="F79" s="8" t="str">
        <f>IF($C$19&lt;&gt;"",CONCATENATE($C$19,"."),"")</f>
        <v>10.89.224.</v>
      </c>
      <c r="G79" s="22">
        <f>IF($C$19&lt;&gt;"",G78+1,"")</f>
        <v>13</v>
      </c>
      <c r="H79" s="172"/>
    </row>
    <row r="80" spans="2:8" ht="12.75">
      <c r="B80" s="53"/>
      <c r="C80" s="57"/>
      <c r="D80" s="57"/>
      <c r="E80" s="55"/>
      <c r="F80" s="58"/>
      <c r="G80" s="48"/>
      <c r="H80" s="59"/>
    </row>
    <row r="81" spans="2:7" ht="12.75">
      <c r="B81" s="53"/>
      <c r="C81" s="54"/>
      <c r="D81" s="54"/>
      <c r="E81" s="56"/>
      <c r="F81" s="55"/>
      <c r="G81" s="48"/>
    </row>
    <row r="82" spans="1:5" ht="16.5">
      <c r="A82" s="41"/>
      <c r="B82" s="41" t="s">
        <v>360</v>
      </c>
      <c r="C82" s="51"/>
      <c r="D82" s="51"/>
      <c r="E82" s="52"/>
    </row>
    <row r="83" ht="12.75">
      <c r="B83" s="37"/>
    </row>
    <row r="84" spans="2:4" ht="12.75">
      <c r="B84" s="37" t="s">
        <v>260</v>
      </c>
      <c r="C84" s="47"/>
      <c r="D84" s="47"/>
    </row>
    <row r="85" spans="3:5" ht="4.5" customHeight="1">
      <c r="C85" s="47"/>
      <c r="D85" s="47"/>
      <c r="E85" s="48"/>
    </row>
    <row r="86" spans="2:8" ht="12.75" customHeight="1">
      <c r="B86" s="177" t="s">
        <v>254</v>
      </c>
      <c r="C86" s="173" t="s">
        <v>255</v>
      </c>
      <c r="D86" s="174"/>
      <c r="E86" s="158" t="s">
        <v>182</v>
      </c>
      <c r="F86" s="160" t="s">
        <v>256</v>
      </c>
      <c r="G86" s="161"/>
      <c r="H86" s="164" t="s">
        <v>239</v>
      </c>
    </row>
    <row r="87" spans="2:8" ht="25.5">
      <c r="B87" s="178"/>
      <c r="C87" s="175"/>
      <c r="D87" s="176"/>
      <c r="E87" s="159"/>
      <c r="F87" s="62" t="s">
        <v>244</v>
      </c>
      <c r="G87" s="63" t="s">
        <v>200</v>
      </c>
      <c r="H87" s="165"/>
    </row>
    <row r="88" spans="2:8" ht="12.75">
      <c r="B88" s="3" t="s">
        <v>258</v>
      </c>
      <c r="C88" s="166" t="str">
        <f>CONCATENATE($C$31,"-mgcp1")</f>
        <v>prica-mgcp1</v>
      </c>
      <c r="D88" s="167"/>
      <c r="E88" s="7" t="str">
        <f>$C$38</f>
        <v>ce0</v>
      </c>
      <c r="F88" s="8" t="str">
        <f>CONCATENATE($C$24,".")</f>
        <v>10.89.225.</v>
      </c>
      <c r="G88" s="22">
        <f>$G$69</f>
        <v>12</v>
      </c>
      <c r="H88" s="186" t="str">
        <f>CONCATENATE($C$24,".",$D$28)</f>
        <v>10.89.225.254</v>
      </c>
    </row>
    <row r="89" spans="2:8" ht="12.75">
      <c r="B89" s="5" t="s">
        <v>554</v>
      </c>
      <c r="C89" s="166" t="str">
        <f>CONCATENATE($C$33,"-mgcp1")</f>
        <v>secca-mgcp1</v>
      </c>
      <c r="D89" s="167"/>
      <c r="E89" s="7" t="str">
        <f>$C$38</f>
        <v>ce0</v>
      </c>
      <c r="F89" s="8" t="str">
        <f>CONCATENATE($C$24,".")</f>
        <v>10.89.225.</v>
      </c>
      <c r="G89" s="22">
        <f>G88+1</f>
        <v>13</v>
      </c>
      <c r="H89" s="187"/>
    </row>
    <row r="90" spans="3:4" ht="12.75">
      <c r="C90" s="47"/>
      <c r="D90" s="47"/>
    </row>
    <row r="91" spans="2:6" ht="12.75">
      <c r="B91" s="37" t="s">
        <v>261</v>
      </c>
      <c r="C91" s="47"/>
      <c r="D91" s="47"/>
      <c r="E91" s="60"/>
      <c r="F91" s="60"/>
    </row>
    <row r="92" spans="3:5" ht="4.5" customHeight="1">
      <c r="C92" s="47"/>
      <c r="D92" s="47"/>
      <c r="E92" s="48"/>
    </row>
    <row r="93" spans="2:8" ht="12.75" customHeight="1">
      <c r="B93" s="177" t="s">
        <v>254</v>
      </c>
      <c r="C93" s="173" t="s">
        <v>255</v>
      </c>
      <c r="D93" s="174"/>
      <c r="E93" s="158" t="s">
        <v>182</v>
      </c>
      <c r="F93" s="160" t="s">
        <v>256</v>
      </c>
      <c r="G93" s="161"/>
      <c r="H93" s="164" t="s">
        <v>239</v>
      </c>
    </row>
    <row r="94" spans="2:8" ht="25.5">
      <c r="B94" s="178"/>
      <c r="C94" s="175"/>
      <c r="D94" s="176"/>
      <c r="E94" s="159"/>
      <c r="F94" s="62" t="s">
        <v>244</v>
      </c>
      <c r="G94" s="63" t="s">
        <v>200</v>
      </c>
      <c r="H94" s="165"/>
    </row>
    <row r="95" spans="2:8" ht="12.75">
      <c r="B95" s="3" t="s">
        <v>258</v>
      </c>
      <c r="C95" s="166" t="str">
        <f>CONCATENATE($C$31,"-mgcp2")</f>
        <v>prica-mgcp2</v>
      </c>
      <c r="D95" s="167"/>
      <c r="E95" s="7" t="str">
        <f>$C$39</f>
        <v>ce1</v>
      </c>
      <c r="F95" s="8" t="str">
        <f>IF($C$25&lt;&gt;"",CONCATENATE($C$25,"."),"")</f>
        <v>10.89.226.</v>
      </c>
      <c r="G95" s="22">
        <f>IF($C$25&lt;&gt;"",$G$78,"")</f>
        <v>12</v>
      </c>
      <c r="H95" s="186" t="str">
        <f>IF($C$25&lt;&gt;"",CONCATENATE($C$25,".",$D$29),"")</f>
        <v>10.89.226.254</v>
      </c>
    </row>
    <row r="96" spans="2:8" ht="12.75">
      <c r="B96" s="5" t="s">
        <v>554</v>
      </c>
      <c r="C96" s="166" t="str">
        <f>CONCATENATE($C$33,"-mgcp2")</f>
        <v>secca-mgcp2</v>
      </c>
      <c r="D96" s="167"/>
      <c r="E96" s="7" t="str">
        <f>$C$39</f>
        <v>ce1</v>
      </c>
      <c r="F96" s="8" t="str">
        <f>IF($C$25&lt;&gt;"",CONCATENATE($C$25,"."),"")</f>
        <v>10.89.226.</v>
      </c>
      <c r="G96" s="22">
        <f>G95+1</f>
        <v>13</v>
      </c>
      <c r="H96" s="187"/>
    </row>
    <row r="97" spans="3:4" ht="12.75">
      <c r="C97" s="47"/>
      <c r="D97" s="47"/>
    </row>
    <row r="98" spans="2:4" ht="12.75">
      <c r="B98" s="37" t="s">
        <v>262</v>
      </c>
      <c r="C98" s="47"/>
      <c r="D98" s="47"/>
    </row>
    <row r="99" spans="3:5" ht="4.5" customHeight="1">
      <c r="C99" s="47"/>
      <c r="D99" s="47"/>
      <c r="E99" s="48"/>
    </row>
    <row r="100" spans="2:7" ht="12.75" customHeight="1">
      <c r="B100" s="162" t="s">
        <v>263</v>
      </c>
      <c r="C100" s="160" t="s">
        <v>256</v>
      </c>
      <c r="D100" s="161"/>
      <c r="E100" s="164" t="s">
        <v>239</v>
      </c>
      <c r="F100" s="33"/>
      <c r="G100" s="33"/>
    </row>
    <row r="101" spans="2:7" ht="12.75">
      <c r="B101" s="163"/>
      <c r="C101" s="64" t="s">
        <v>242</v>
      </c>
      <c r="D101" s="65" t="s">
        <v>243</v>
      </c>
      <c r="E101" s="165"/>
      <c r="F101" s="33"/>
      <c r="G101" s="33"/>
    </row>
    <row r="102" spans="2:5" ht="12.75">
      <c r="B102" s="9" t="s">
        <v>264</v>
      </c>
      <c r="C102" s="8" t="str">
        <f>CONCATENATE($C$24,".")</f>
        <v>10.89.225.</v>
      </c>
      <c r="D102" s="22">
        <f>$G$89+1</f>
        <v>14</v>
      </c>
      <c r="E102" s="4" t="str">
        <f>CONCATENATE($C$24,".",$D$28)</f>
        <v>10.89.225.254</v>
      </c>
    </row>
    <row r="103" spans="2:5" ht="12.75">
      <c r="B103" s="6" t="s">
        <v>265</v>
      </c>
      <c r="C103" s="8" t="str">
        <f>IF($C$25&lt;&gt;"",CONCATENATE($C$25,"."),"")</f>
        <v>10.89.226.</v>
      </c>
      <c r="D103" s="22">
        <f>IF($C$25&lt;&gt;"",$G$96+1,"")</f>
        <v>14</v>
      </c>
      <c r="E103" s="4" t="str">
        <f>IF($C$25&lt;&gt;"",CONCATENATE($C$25,".",$D$29),"")</f>
        <v>10.89.226.254</v>
      </c>
    </row>
    <row r="104" spans="3:4" ht="12.75">
      <c r="C104" s="47"/>
      <c r="D104" s="47"/>
    </row>
    <row r="105" spans="2:5" ht="12.75">
      <c r="B105" s="37" t="s">
        <v>190</v>
      </c>
      <c r="C105" s="47"/>
      <c r="D105" s="47"/>
      <c r="E105" s="60"/>
    </row>
    <row r="106" spans="3:5" ht="4.5" customHeight="1">
      <c r="C106" s="47"/>
      <c r="D106" s="47"/>
      <c r="E106" s="48"/>
    </row>
    <row r="107" spans="2:7" ht="12.75" customHeight="1">
      <c r="B107" s="162" t="s">
        <v>263</v>
      </c>
      <c r="C107" s="160" t="s">
        <v>256</v>
      </c>
      <c r="D107" s="161"/>
      <c r="E107" s="164" t="s">
        <v>239</v>
      </c>
      <c r="F107" s="33"/>
      <c r="G107" s="33"/>
    </row>
    <row r="108" spans="2:7" ht="12.75">
      <c r="B108" s="163"/>
      <c r="C108" s="64" t="s">
        <v>242</v>
      </c>
      <c r="D108" s="65" t="s">
        <v>243</v>
      </c>
      <c r="E108" s="165"/>
      <c r="F108" s="33"/>
      <c r="G108" s="33"/>
    </row>
    <row r="109" spans="2:5" ht="12.75">
      <c r="B109" s="9" t="s">
        <v>266</v>
      </c>
      <c r="C109" s="8" t="str">
        <f>CONCATENATE($C$24,".")</f>
        <v>10.89.225.</v>
      </c>
      <c r="D109" s="22">
        <f>D102+1</f>
        <v>15</v>
      </c>
      <c r="E109" s="4" t="str">
        <f>CONCATENATE($C$24,".",$D$28)</f>
        <v>10.89.225.254</v>
      </c>
    </row>
    <row r="110" spans="2:5" ht="12.75">
      <c r="B110" s="6" t="s">
        <v>267</v>
      </c>
      <c r="C110" s="8" t="str">
        <f>IF($C$25&lt;&gt;"",CONCATENATE($C$25,"."),"")</f>
        <v>10.89.226.</v>
      </c>
      <c r="D110" s="22">
        <f>D103+1</f>
        <v>15</v>
      </c>
      <c r="E110" s="4" t="str">
        <f>IF($C$25&lt;&gt;"",CONCATENATE($C$25,".",$D$29),"")</f>
        <v>10.89.226.254</v>
      </c>
    </row>
    <row r="111" spans="3:4" ht="12.75">
      <c r="C111" s="47"/>
      <c r="D111" s="47"/>
    </row>
    <row r="112" spans="2:5" ht="12.75">
      <c r="B112" s="37" t="s">
        <v>189</v>
      </c>
      <c r="C112" s="47"/>
      <c r="D112" s="47"/>
      <c r="E112" s="60"/>
    </row>
    <row r="113" spans="3:5" ht="4.5" customHeight="1">
      <c r="C113" s="47"/>
      <c r="D113" s="47"/>
      <c r="E113" s="48"/>
    </row>
    <row r="114" spans="2:7" ht="12.75" customHeight="1">
      <c r="B114" s="162" t="s">
        <v>263</v>
      </c>
      <c r="C114" s="160" t="s">
        <v>256</v>
      </c>
      <c r="D114" s="161"/>
      <c r="E114" s="164" t="s">
        <v>239</v>
      </c>
      <c r="F114" s="33"/>
      <c r="G114" s="33"/>
    </row>
    <row r="115" spans="2:7" ht="12.75">
      <c r="B115" s="163"/>
      <c r="C115" s="64" t="s">
        <v>242</v>
      </c>
      <c r="D115" s="65" t="s">
        <v>243</v>
      </c>
      <c r="E115" s="165"/>
      <c r="F115" s="33"/>
      <c r="G115" s="33"/>
    </row>
    <row r="116" spans="2:5" ht="12.75">
      <c r="B116" s="9" t="s">
        <v>268</v>
      </c>
      <c r="C116" s="8" t="str">
        <f>CONCATENATE($C$24,".")</f>
        <v>10.89.225.</v>
      </c>
      <c r="D116" s="22">
        <f>D109+1</f>
        <v>16</v>
      </c>
      <c r="E116" s="4" t="str">
        <f>CONCATENATE($C$24,".",$D$28)</f>
        <v>10.89.225.254</v>
      </c>
    </row>
    <row r="117" spans="2:5" ht="12.75">
      <c r="B117" s="6" t="s">
        <v>269</v>
      </c>
      <c r="C117" s="8" t="str">
        <f>IF($C$25&lt;&gt;"",CONCATENATE($C$25,"."),"")</f>
        <v>10.89.226.</v>
      </c>
      <c r="D117" s="22">
        <f>D110+1</f>
        <v>16</v>
      </c>
      <c r="E117" s="4" t="str">
        <f>IF($C$25&lt;&gt;"",CONCATENATE($C$25,".",$D$29),"")</f>
        <v>10.89.226.254</v>
      </c>
    </row>
    <row r="118" spans="3:4" ht="12.75">
      <c r="C118" s="47"/>
      <c r="D118" s="47"/>
    </row>
    <row r="119" spans="2:5" ht="12.75">
      <c r="B119" s="37" t="s">
        <v>270</v>
      </c>
      <c r="C119" s="47"/>
      <c r="D119" s="47"/>
      <c r="E119" s="60"/>
    </row>
    <row r="120" spans="3:5" ht="4.5" customHeight="1">
      <c r="C120" s="47"/>
      <c r="D120" s="47"/>
      <c r="E120" s="48"/>
    </row>
    <row r="121" spans="2:7" ht="12.75" customHeight="1">
      <c r="B121" s="162" t="s">
        <v>263</v>
      </c>
      <c r="C121" s="160" t="s">
        <v>256</v>
      </c>
      <c r="D121" s="161"/>
      <c r="E121" s="164" t="s">
        <v>239</v>
      </c>
      <c r="F121" s="33"/>
      <c r="G121" s="33"/>
    </row>
    <row r="122" spans="2:7" ht="12.75">
      <c r="B122" s="163"/>
      <c r="C122" s="64" t="s">
        <v>242</v>
      </c>
      <c r="D122" s="65" t="s">
        <v>243</v>
      </c>
      <c r="E122" s="165"/>
      <c r="F122" s="33"/>
      <c r="G122" s="33"/>
    </row>
    <row r="123" spans="2:5" ht="12.75">
      <c r="B123" s="9" t="s">
        <v>271</v>
      </c>
      <c r="C123" s="8" t="str">
        <f>CONCATENATE($C$24,".")</f>
        <v>10.89.225.</v>
      </c>
      <c r="D123" s="22">
        <f>D116+1</f>
        <v>17</v>
      </c>
      <c r="E123" s="4" t="str">
        <f>CONCATENATE($C$24,".",$D$28)</f>
        <v>10.89.225.254</v>
      </c>
    </row>
    <row r="124" spans="2:5" ht="12.75">
      <c r="B124" s="6" t="s">
        <v>272</v>
      </c>
      <c r="C124" s="8" t="str">
        <f>CONCATENATE($C$25,".")</f>
        <v>10.89.226.</v>
      </c>
      <c r="D124" s="22">
        <f>D117+1</f>
        <v>17</v>
      </c>
      <c r="E124" s="4" t="str">
        <f>CONCATENATE($C$25,".",$D$28)</f>
        <v>10.89.226.254</v>
      </c>
    </row>
    <row r="125" spans="2:5" ht="12.75">
      <c r="B125" s="53"/>
      <c r="C125" s="47"/>
      <c r="D125" s="47"/>
      <c r="E125" s="48"/>
    </row>
    <row r="126" spans="2:5" ht="12.75">
      <c r="B126" s="53"/>
      <c r="C126" s="47"/>
      <c r="D126" s="47"/>
      <c r="E126" s="48"/>
    </row>
    <row r="127" spans="1:5" ht="16.5">
      <c r="A127" s="41"/>
      <c r="B127" s="45" t="s">
        <v>359</v>
      </c>
      <c r="C127" s="51"/>
      <c r="D127" s="51"/>
      <c r="E127" s="52"/>
    </row>
    <row r="128" spans="3:4" ht="12.75">
      <c r="C128" s="47"/>
      <c r="D128" s="47"/>
    </row>
    <row r="129" spans="2:6" ht="12.75">
      <c r="B129" s="37" t="s">
        <v>191</v>
      </c>
      <c r="C129" s="47"/>
      <c r="D129" s="47"/>
      <c r="E129" s="60"/>
      <c r="F129" s="60"/>
    </row>
    <row r="130" spans="3:5" ht="4.5" customHeight="1">
      <c r="C130" s="47"/>
      <c r="D130" s="47"/>
      <c r="E130" s="48"/>
    </row>
    <row r="131" spans="2:6" ht="12.75">
      <c r="B131" s="66" t="s">
        <v>254</v>
      </c>
      <c r="C131" s="160" t="s">
        <v>255</v>
      </c>
      <c r="D131" s="161"/>
      <c r="E131" s="62" t="s">
        <v>182</v>
      </c>
      <c r="F131" s="61" t="s">
        <v>256</v>
      </c>
    </row>
    <row r="132" spans="2:6" ht="12.75">
      <c r="B132" s="9" t="s">
        <v>257</v>
      </c>
      <c r="C132" s="166" t="str">
        <f>CONCATENATE($C$32,"-rep1")</f>
        <v>priems-rep1</v>
      </c>
      <c r="D132" s="167"/>
      <c r="E132" s="4" t="str">
        <f>CONCATENATE($E$67,":1")</f>
        <v>ce0:1</v>
      </c>
      <c r="F132" s="118" t="str">
        <f>CONCATENATE($C$35,".122.",$G$67)</f>
        <v>10.10.122.10</v>
      </c>
    </row>
    <row r="133" spans="2:6" ht="12.75">
      <c r="B133" s="6" t="s">
        <v>553</v>
      </c>
      <c r="C133" s="166" t="str">
        <f>CONCATENATE($C$34,"-rep1")</f>
        <v>secems-rep1</v>
      </c>
      <c r="D133" s="167"/>
      <c r="E133" s="4" t="str">
        <f>CONCATENATE($E$68,":1")</f>
        <v>ce0:1</v>
      </c>
      <c r="F133" s="118" t="str">
        <f>CONCATENATE($C$35,".122.",$G$68)</f>
        <v>10.10.122.11</v>
      </c>
    </row>
    <row r="134" spans="3:4" ht="12.75">
      <c r="C134" s="47"/>
      <c r="D134" s="47"/>
    </row>
    <row r="135" spans="2:6" ht="12.75">
      <c r="B135" s="37" t="s">
        <v>192</v>
      </c>
      <c r="C135" s="47"/>
      <c r="D135" s="47"/>
      <c r="E135" s="60"/>
      <c r="F135" s="60"/>
    </row>
    <row r="136" spans="3:5" ht="4.5" customHeight="1">
      <c r="C136" s="47"/>
      <c r="D136" s="47"/>
      <c r="E136" s="48"/>
    </row>
    <row r="137" spans="2:6" ht="12.75">
      <c r="B137" s="66" t="s">
        <v>254</v>
      </c>
      <c r="C137" s="160" t="s">
        <v>255</v>
      </c>
      <c r="D137" s="161"/>
      <c r="E137" s="62" t="s">
        <v>182</v>
      </c>
      <c r="F137" s="61" t="s">
        <v>256</v>
      </c>
    </row>
    <row r="138" spans="2:6" ht="12.75">
      <c r="B138" s="9" t="s">
        <v>257</v>
      </c>
      <c r="C138" s="166" t="str">
        <f>CONCATENATE($C$31,"-rep2")</f>
        <v>prica-rep2</v>
      </c>
      <c r="D138" s="167"/>
      <c r="E138" s="4" t="str">
        <f>CONCATENATE($E$76,":1")</f>
        <v>ce1:1</v>
      </c>
      <c r="F138" s="118" t="str">
        <f>CONCATENATE($C$35,".123.",$G$67)</f>
        <v>10.10.123.10</v>
      </c>
    </row>
    <row r="139" spans="2:6" ht="12.75">
      <c r="B139" s="6" t="s">
        <v>553</v>
      </c>
      <c r="C139" s="166" t="str">
        <f>CONCATENATE($C$33,"-rep2")</f>
        <v>secca-rep2</v>
      </c>
      <c r="D139" s="183"/>
      <c r="E139" s="4" t="str">
        <f>CONCATENATE($E$77,":1")</f>
        <v>ce1:1</v>
      </c>
      <c r="F139" s="118" t="str">
        <f>CONCATENATE($C$35,".123.",$G$68)</f>
        <v>10.10.123.11</v>
      </c>
    </row>
    <row r="140" spans="3:4" ht="12.75">
      <c r="C140" s="47"/>
      <c r="D140" s="47"/>
    </row>
    <row r="141" spans="2:6" ht="12.75">
      <c r="B141" s="37" t="s">
        <v>193</v>
      </c>
      <c r="C141" s="47"/>
      <c r="D141" s="47"/>
      <c r="E141" s="60"/>
      <c r="F141" s="60"/>
    </row>
    <row r="142" spans="3:5" ht="4.5" customHeight="1">
      <c r="C142" s="47"/>
      <c r="D142" s="47"/>
      <c r="E142" s="48"/>
    </row>
    <row r="143" spans="2:6" ht="12.75">
      <c r="B143" s="66" t="s">
        <v>254</v>
      </c>
      <c r="C143" s="160" t="s">
        <v>255</v>
      </c>
      <c r="D143" s="161"/>
      <c r="E143" s="62" t="s">
        <v>182</v>
      </c>
      <c r="F143" s="61" t="s">
        <v>256</v>
      </c>
    </row>
    <row r="144" spans="2:6" ht="12.75">
      <c r="B144" s="9" t="s">
        <v>258</v>
      </c>
      <c r="C144" s="166" t="str">
        <f>CONCATENATE($C$31,"-red1")</f>
        <v>prica-red1</v>
      </c>
      <c r="D144" s="167"/>
      <c r="E144" s="4" t="str">
        <f>CONCATENATE($E$69,":1")</f>
        <v>qfe0:1</v>
      </c>
      <c r="F144" s="118" t="str">
        <f>CONCATENATE($C$35,".120.",$G$69)</f>
        <v>10.10.120.12</v>
      </c>
    </row>
    <row r="145" spans="2:6" ht="12.75">
      <c r="B145" s="6" t="s">
        <v>554</v>
      </c>
      <c r="C145" s="166" t="str">
        <f>CONCATENATE($C$33,"-red1")</f>
        <v>secca-red1</v>
      </c>
      <c r="D145" s="167"/>
      <c r="E145" s="4" t="str">
        <f>CONCATENATE($E$70,":1")</f>
        <v>qfe0:1</v>
      </c>
      <c r="F145" s="118" t="str">
        <f>CONCATENATE($C$35,".120.",$G$70)</f>
        <v>10.10.120.13</v>
      </c>
    </row>
    <row r="146" spans="3:4" ht="12.75">
      <c r="C146" s="47"/>
      <c r="D146" s="47"/>
    </row>
    <row r="147" spans="2:6" ht="12.75">
      <c r="B147" s="37" t="s">
        <v>194</v>
      </c>
      <c r="C147" s="47"/>
      <c r="D147" s="47"/>
      <c r="E147" s="60"/>
      <c r="F147" s="60"/>
    </row>
    <row r="148" spans="3:5" ht="4.5" customHeight="1">
      <c r="C148" s="47"/>
      <c r="D148" s="47"/>
      <c r="E148" s="48"/>
    </row>
    <row r="149" spans="2:6" ht="12.75">
      <c r="B149" s="66" t="s">
        <v>254</v>
      </c>
      <c r="C149" s="160" t="s">
        <v>255</v>
      </c>
      <c r="D149" s="161"/>
      <c r="E149" s="62" t="s">
        <v>182</v>
      </c>
      <c r="F149" s="61" t="s">
        <v>256</v>
      </c>
    </row>
    <row r="150" spans="2:6" ht="12.75">
      <c r="B150" s="9" t="s">
        <v>258</v>
      </c>
      <c r="C150" s="166" t="str">
        <f>CONCATENATE($C$31,"-red2")</f>
        <v>prica-red2</v>
      </c>
      <c r="D150" s="167"/>
      <c r="E150" s="4" t="str">
        <f>CONCATENATE($E$78,":1")</f>
        <v>qfe1:1</v>
      </c>
      <c r="F150" s="118" t="str">
        <f>CONCATENATE($C$35,".121.",$G$69)</f>
        <v>10.10.121.12</v>
      </c>
    </row>
    <row r="151" spans="2:6" ht="12.75">
      <c r="B151" s="6" t="s">
        <v>554</v>
      </c>
      <c r="C151" s="166" t="str">
        <f>CONCATENATE($C$33,"-red2")</f>
        <v>secca-red2</v>
      </c>
      <c r="D151" s="167"/>
      <c r="E151" s="4" t="str">
        <f>CONCATENATE($E$79,":1")</f>
        <v>qfe1:1</v>
      </c>
      <c r="F151" s="118" t="str">
        <f>CONCATENATE($C$35,".121.",$G$70)</f>
        <v>10.10.121.13</v>
      </c>
    </row>
    <row r="152" spans="3:4" ht="12.75">
      <c r="C152" s="47"/>
      <c r="D152" s="47"/>
    </row>
    <row r="153" spans="2:6" ht="12.75">
      <c r="B153" s="37" t="s">
        <v>195</v>
      </c>
      <c r="C153" s="47"/>
      <c r="D153" s="47"/>
      <c r="E153" s="60"/>
      <c r="F153" s="60"/>
    </row>
    <row r="154" spans="3:5" ht="4.5" customHeight="1">
      <c r="C154" s="47"/>
      <c r="D154" s="47"/>
      <c r="E154" s="48"/>
    </row>
    <row r="155" spans="2:6" ht="12.75">
      <c r="B155" s="66" t="s">
        <v>254</v>
      </c>
      <c r="C155" s="160" t="s">
        <v>255</v>
      </c>
      <c r="D155" s="161"/>
      <c r="E155" s="62" t="s">
        <v>182</v>
      </c>
      <c r="F155" s="61" t="s">
        <v>256</v>
      </c>
    </row>
    <row r="156" spans="2:6" ht="12.75">
      <c r="B156" s="9" t="s">
        <v>273</v>
      </c>
      <c r="C156" s="166" t="str">
        <f>CONCATENATE($C$32,"-rep1")</f>
        <v>priems-rep1</v>
      </c>
      <c r="D156" s="167"/>
      <c r="E156" s="4" t="str">
        <f>CONCATENATE($E$67,":1")</f>
        <v>ce0:1</v>
      </c>
      <c r="F156" s="118" t="str">
        <f>CONCATENATE($C$35,".122.",$G$67)</f>
        <v>10.10.122.10</v>
      </c>
    </row>
    <row r="157" spans="2:6" ht="13.5" thickBot="1">
      <c r="B157" s="12" t="s">
        <v>555</v>
      </c>
      <c r="C157" s="168" t="str">
        <f>CONCATENATE($C$34,"-rep1")</f>
        <v>secems-rep1</v>
      </c>
      <c r="D157" s="169"/>
      <c r="E157" s="13" t="str">
        <f>CONCATENATE($E$68,":1")</f>
        <v>ce0:1</v>
      </c>
      <c r="F157" s="119" t="str">
        <f>CONCATENATE($C$35,".122.",$G$68)</f>
        <v>10.10.122.11</v>
      </c>
    </row>
    <row r="158" spans="2:6" ht="13.5" thickTop="1">
      <c r="B158" s="10" t="s">
        <v>258</v>
      </c>
      <c r="C158" s="184" t="str">
        <f>CONCATENATE($C$31,"-bill1")</f>
        <v>prica-bill1</v>
      </c>
      <c r="D158" s="185"/>
      <c r="E158" s="11" t="str">
        <f>CONCATENATE($E$69,":2")</f>
        <v>qfe0:2</v>
      </c>
      <c r="F158" s="120" t="str">
        <f>CONCATENATE($C$35,".122.",$G$69)</f>
        <v>10.10.122.12</v>
      </c>
    </row>
    <row r="159" spans="2:6" ht="12.75">
      <c r="B159" s="6" t="s">
        <v>554</v>
      </c>
      <c r="C159" s="166" t="str">
        <f>CONCATENATE($C$33,"-bill1")</f>
        <v>secca-bill1</v>
      </c>
      <c r="D159" s="167"/>
      <c r="E159" s="4" t="str">
        <f>CONCATENATE($E$70,":2")</f>
        <v>qfe0:2</v>
      </c>
      <c r="F159" s="118" t="str">
        <f>CONCATENATE($C$35,".122.",$G$70)</f>
        <v>10.10.122.13</v>
      </c>
    </row>
    <row r="160" spans="3:4" ht="12.75">
      <c r="C160" s="47"/>
      <c r="D160" s="47"/>
    </row>
    <row r="161" spans="2:6" ht="12.75">
      <c r="B161" s="37" t="s">
        <v>196</v>
      </c>
      <c r="C161" s="47"/>
      <c r="D161" s="47"/>
      <c r="E161" s="60"/>
      <c r="F161" s="60"/>
    </row>
    <row r="162" spans="3:5" ht="4.5" customHeight="1">
      <c r="C162" s="47"/>
      <c r="D162" s="47"/>
      <c r="E162" s="48"/>
    </row>
    <row r="163" spans="2:6" ht="12.75">
      <c r="B163" s="66" t="s">
        <v>254</v>
      </c>
      <c r="C163" s="160" t="s">
        <v>255</v>
      </c>
      <c r="D163" s="161"/>
      <c r="E163" s="62" t="s">
        <v>182</v>
      </c>
      <c r="F163" s="61" t="s">
        <v>256</v>
      </c>
    </row>
    <row r="164" spans="2:6" ht="12.75">
      <c r="B164" s="9" t="s">
        <v>273</v>
      </c>
      <c r="C164" s="166" t="str">
        <f>CONCATENATE($C$32,"-rep2")</f>
        <v>priems-rep2</v>
      </c>
      <c r="D164" s="167"/>
      <c r="E164" s="4" t="str">
        <f>CONCATENATE($E$76,":1")</f>
        <v>ce1:1</v>
      </c>
      <c r="F164" s="118" t="str">
        <f>CONCATENATE($C$35,".123.",$G$67)</f>
        <v>10.10.123.10</v>
      </c>
    </row>
    <row r="165" spans="2:6" ht="13.5" thickBot="1">
      <c r="B165" s="12" t="s">
        <v>274</v>
      </c>
      <c r="C165" s="168" t="str">
        <f>CONCATENATE($C$34,"-rep2")</f>
        <v>secems-rep2</v>
      </c>
      <c r="D165" s="169"/>
      <c r="E165" s="13" t="str">
        <f>CONCATENATE($E$77,":1")</f>
        <v>ce1:1</v>
      </c>
      <c r="F165" s="119" t="str">
        <f>CONCATENATE($C$35,".123.",$G$68)</f>
        <v>10.10.123.11</v>
      </c>
    </row>
    <row r="166" spans="2:6" ht="13.5" thickTop="1">
      <c r="B166" s="10" t="s">
        <v>258</v>
      </c>
      <c r="C166" s="184" t="str">
        <f>CONCATENATE($C$31,"-bill2")</f>
        <v>prica-bill2</v>
      </c>
      <c r="D166" s="185"/>
      <c r="E166" s="11" t="str">
        <f>CONCATENATE($E$78,":2")</f>
        <v>qfe1:2</v>
      </c>
      <c r="F166" s="120" t="str">
        <f>CONCATENATE($C$35,".123.",$G$69)</f>
        <v>10.10.123.12</v>
      </c>
    </row>
    <row r="167" spans="2:6" ht="12.75">
      <c r="B167" s="6" t="s">
        <v>554</v>
      </c>
      <c r="C167" s="166" t="str">
        <f>CONCATENATE($C$33,"-bill2")</f>
        <v>secca-bill2</v>
      </c>
      <c r="D167" s="167"/>
      <c r="E167" s="4" t="str">
        <f>CONCATENATE($E$79,":2")</f>
        <v>qfe1:2</v>
      </c>
      <c r="F167" s="118" t="str">
        <f>CONCATENATE($C$35,".123.",$G$70)</f>
        <v>10.10.123.13</v>
      </c>
    </row>
    <row r="168" spans="3:4" ht="12.75">
      <c r="C168" s="47"/>
      <c r="D168" s="47"/>
    </row>
    <row r="169" spans="2:6" ht="12.75">
      <c r="B169" s="37" t="s">
        <v>197</v>
      </c>
      <c r="C169" s="47"/>
      <c r="D169" s="47"/>
      <c r="E169" s="60"/>
      <c r="F169" s="60"/>
    </row>
    <row r="170" spans="3:5" ht="4.5" customHeight="1">
      <c r="C170" s="47"/>
      <c r="D170" s="47"/>
      <c r="E170" s="48"/>
    </row>
    <row r="171" spans="2:6" ht="12.75">
      <c r="B171" s="66" t="s">
        <v>254</v>
      </c>
      <c r="C171" s="160" t="s">
        <v>255</v>
      </c>
      <c r="D171" s="161"/>
      <c r="E171" s="62" t="s">
        <v>182</v>
      </c>
      <c r="F171" s="61" t="s">
        <v>256</v>
      </c>
    </row>
    <row r="172" spans="2:6" ht="12.75">
      <c r="B172" s="9" t="s">
        <v>258</v>
      </c>
      <c r="C172" s="166" t="str">
        <f>CONCATENATE($C$31,"-fs1")</f>
        <v>prica-fs1</v>
      </c>
      <c r="D172" s="167"/>
      <c r="E172" s="4" t="str">
        <f>CONCATENATE($E$69,":3")</f>
        <v>qfe0:3</v>
      </c>
      <c r="F172" s="118" t="str">
        <f>CONCATENATE($C$35,".124.",$G$69)</f>
        <v>10.10.124.12</v>
      </c>
    </row>
    <row r="173" spans="2:8" ht="12.75">
      <c r="B173" s="6" t="s">
        <v>554</v>
      </c>
      <c r="C173" s="166" t="str">
        <f>CONCATENATE($C$33,"-fs1")</f>
        <v>secca-fs1</v>
      </c>
      <c r="D173" s="167"/>
      <c r="E173" s="4" t="str">
        <f>CONCATENATE($E$70,":3")</f>
        <v>qfe0:3</v>
      </c>
      <c r="F173" s="118" t="str">
        <f>CONCATENATE($C$35,".124.",$G$70)</f>
        <v>10.10.124.13</v>
      </c>
      <c r="H173" s="33" t="s">
        <v>574</v>
      </c>
    </row>
    <row r="174" spans="3:4" ht="12.75">
      <c r="C174" s="47"/>
      <c r="D174" s="47"/>
    </row>
    <row r="175" spans="2:6" ht="12.75">
      <c r="B175" s="37" t="s">
        <v>198</v>
      </c>
      <c r="C175" s="47"/>
      <c r="D175" s="47"/>
      <c r="E175" s="60"/>
      <c r="F175" s="60"/>
    </row>
    <row r="176" spans="3:5" ht="4.5" customHeight="1">
      <c r="C176" s="47"/>
      <c r="D176" s="47"/>
      <c r="E176" s="48"/>
    </row>
    <row r="177" spans="2:6" ht="12.75">
      <c r="B177" s="66" t="s">
        <v>254</v>
      </c>
      <c r="C177" s="160" t="s">
        <v>255</v>
      </c>
      <c r="D177" s="161"/>
      <c r="E177" s="62" t="s">
        <v>182</v>
      </c>
      <c r="F177" s="61" t="s">
        <v>256</v>
      </c>
    </row>
    <row r="178" spans="2:6" ht="12.75">
      <c r="B178" s="9" t="s">
        <v>258</v>
      </c>
      <c r="C178" s="166" t="str">
        <f>CONCATENATE($C$31,"-fs2")</f>
        <v>prica-fs2</v>
      </c>
      <c r="D178" s="167"/>
      <c r="E178" s="4" t="str">
        <f>CONCATENATE($E$78,":3")</f>
        <v>qfe1:3</v>
      </c>
      <c r="F178" s="118" t="str">
        <f>CONCATENATE($C$35,".125.",$G$69)</f>
        <v>10.10.125.12</v>
      </c>
    </row>
    <row r="179" spans="2:6" ht="12.75">
      <c r="B179" s="6" t="s">
        <v>554</v>
      </c>
      <c r="C179" s="166" t="str">
        <f>CONCATENATE($C$33,"-fs2")</f>
        <v>secca-fs2</v>
      </c>
      <c r="D179" s="167"/>
      <c r="E179" s="4" t="str">
        <f>CONCATENATE($E$79,":3")</f>
        <v>qfe1:3</v>
      </c>
      <c r="F179" s="118" t="str">
        <f>CONCATENATE($C$35,".125.",$G$70)</f>
        <v>10.10.125.13</v>
      </c>
    </row>
    <row r="180" spans="3:4" ht="12.75">
      <c r="C180" s="47"/>
      <c r="D180" s="47"/>
    </row>
    <row r="181" spans="1:5" ht="16.5">
      <c r="A181" s="41"/>
      <c r="B181" s="41" t="s">
        <v>517</v>
      </c>
      <c r="C181" s="51"/>
      <c r="D181" s="51"/>
      <c r="E181" s="135"/>
    </row>
    <row r="182" ht="12.75">
      <c r="A182" s="137" t="s">
        <v>548</v>
      </c>
    </row>
    <row r="183" spans="2:5" ht="12.75">
      <c r="B183" s="14" t="s">
        <v>547</v>
      </c>
      <c r="C183" s="160" t="s">
        <v>177</v>
      </c>
      <c r="D183" s="161"/>
      <c r="E183" s="15" t="s">
        <v>354</v>
      </c>
    </row>
    <row r="184" spans="2:5" ht="12.75">
      <c r="B184" s="2" t="s">
        <v>539</v>
      </c>
      <c r="C184" s="31" t="s">
        <v>518</v>
      </c>
      <c r="D184" s="100"/>
      <c r="E184" s="29" t="s">
        <v>518</v>
      </c>
    </row>
    <row r="185" spans="2:5" ht="12.75">
      <c r="B185" s="2" t="s">
        <v>525</v>
      </c>
      <c r="C185" s="28" t="s">
        <v>533</v>
      </c>
      <c r="D185" s="121"/>
      <c r="E185" s="17" t="s">
        <v>533</v>
      </c>
    </row>
    <row r="186" spans="2:7" s="40" customFormat="1" ht="13.5" thickBot="1">
      <c r="B186" s="140" t="s">
        <v>526</v>
      </c>
      <c r="C186" s="141">
        <v>20</v>
      </c>
      <c r="D186" s="142"/>
      <c r="E186" s="143">
        <v>20</v>
      </c>
      <c r="F186" s="48"/>
      <c r="G186" s="47"/>
    </row>
    <row r="187" spans="2:5" ht="13.5" thickTop="1">
      <c r="B187" s="138" t="s">
        <v>540</v>
      </c>
      <c r="C187" s="31" t="s">
        <v>518</v>
      </c>
      <c r="D187" s="101"/>
      <c r="E187" s="139" t="s">
        <v>518</v>
      </c>
    </row>
    <row r="188" spans="2:5" ht="12.75">
      <c r="B188" s="2" t="s">
        <v>541</v>
      </c>
      <c r="C188" s="28" t="s">
        <v>546</v>
      </c>
      <c r="D188" s="121"/>
      <c r="E188" s="17" t="s">
        <v>534</v>
      </c>
    </row>
    <row r="189" spans="2:5" ht="13.5" thickBot="1">
      <c r="B189" s="140" t="s">
        <v>542</v>
      </c>
      <c r="C189" s="141">
        <v>20</v>
      </c>
      <c r="D189" s="142"/>
      <c r="E189" s="143">
        <v>20</v>
      </c>
    </row>
    <row r="190" spans="2:5" ht="13.5" thickTop="1">
      <c r="B190" s="138" t="s">
        <v>543</v>
      </c>
      <c r="C190" s="31" t="s">
        <v>518</v>
      </c>
      <c r="D190" s="101"/>
      <c r="E190" s="139" t="s">
        <v>518</v>
      </c>
    </row>
    <row r="191" spans="2:5" ht="12.75">
      <c r="B191" s="2" t="s">
        <v>527</v>
      </c>
      <c r="C191" s="28" t="s">
        <v>535</v>
      </c>
      <c r="D191" s="121"/>
      <c r="E191" s="17" t="s">
        <v>535</v>
      </c>
    </row>
    <row r="192" spans="2:5" ht="13.5" thickBot="1">
      <c r="B192" s="140" t="s">
        <v>528</v>
      </c>
      <c r="C192" s="141">
        <v>20</v>
      </c>
      <c r="D192" s="142"/>
      <c r="E192" s="143">
        <v>20</v>
      </c>
    </row>
    <row r="193" spans="2:5" ht="13.5" thickTop="1">
      <c r="B193" s="138" t="s">
        <v>544</v>
      </c>
      <c r="C193" s="31" t="s">
        <v>518</v>
      </c>
      <c r="D193" s="101"/>
      <c r="E193" s="139" t="s">
        <v>518</v>
      </c>
    </row>
    <row r="194" spans="2:5" ht="12.75">
      <c r="B194" s="2" t="s">
        <v>529</v>
      </c>
      <c r="C194" s="28" t="s">
        <v>536</v>
      </c>
      <c r="D194" s="121"/>
      <c r="E194" s="17" t="s">
        <v>536</v>
      </c>
    </row>
    <row r="195" spans="2:5" ht="13.5" thickBot="1">
      <c r="B195" s="140" t="s">
        <v>530</v>
      </c>
      <c r="C195" s="141">
        <v>20</v>
      </c>
      <c r="D195" s="142"/>
      <c r="E195" s="143">
        <v>20</v>
      </c>
    </row>
    <row r="196" spans="2:5" ht="13.5" thickTop="1">
      <c r="B196" s="138" t="s">
        <v>545</v>
      </c>
      <c r="C196" s="31" t="s">
        <v>518</v>
      </c>
      <c r="D196" s="101"/>
      <c r="E196" s="139" t="s">
        <v>518</v>
      </c>
    </row>
    <row r="197" spans="2:5" ht="12.75">
      <c r="B197" s="2" t="s">
        <v>531</v>
      </c>
      <c r="C197" s="28" t="s">
        <v>537</v>
      </c>
      <c r="D197" s="121"/>
      <c r="E197" s="17" t="s">
        <v>537</v>
      </c>
    </row>
    <row r="198" spans="2:5" ht="12.75">
      <c r="B198" s="2" t="s">
        <v>532</v>
      </c>
      <c r="C198" s="136">
        <v>20</v>
      </c>
      <c r="D198" s="122"/>
      <c r="E198" s="17">
        <v>20</v>
      </c>
    </row>
    <row r="199" ht="12.75">
      <c r="A199" s="137"/>
    </row>
    <row r="200" spans="2:5" ht="12.75">
      <c r="B200" s="14" t="s">
        <v>552</v>
      </c>
      <c r="C200" s="160" t="s">
        <v>177</v>
      </c>
      <c r="D200" s="161"/>
      <c r="E200" s="15" t="s">
        <v>354</v>
      </c>
    </row>
    <row r="201" spans="2:5" ht="12.75">
      <c r="B201" s="2" t="s">
        <v>556</v>
      </c>
      <c r="C201" s="26" t="s">
        <v>357</v>
      </c>
      <c r="D201" s="100"/>
      <c r="E201" s="29" t="s">
        <v>357</v>
      </c>
    </row>
    <row r="202" ht="12.75"/>
    <row r="203" spans="1:5" ht="16.5">
      <c r="A203" s="41"/>
      <c r="B203" s="45" t="s">
        <v>570</v>
      </c>
      <c r="C203" s="51"/>
      <c r="D203" s="51"/>
      <c r="E203" s="52"/>
    </row>
    <row r="204" ht="12.75">
      <c r="A204" s="137" t="s">
        <v>576</v>
      </c>
    </row>
    <row r="205" spans="2:5" ht="12.75">
      <c r="B205" s="162" t="s">
        <v>575</v>
      </c>
      <c r="C205" s="160" t="s">
        <v>256</v>
      </c>
      <c r="D205" s="161"/>
      <c r="E205" s="15"/>
    </row>
    <row r="206" spans="2:5" ht="12.75">
      <c r="B206" s="163"/>
      <c r="C206" s="64" t="s">
        <v>242</v>
      </c>
      <c r="D206" s="65" t="s">
        <v>243</v>
      </c>
      <c r="E206" s="15" t="s">
        <v>354</v>
      </c>
    </row>
    <row r="207" spans="2:5" ht="12.75">
      <c r="B207" s="2" t="s">
        <v>571</v>
      </c>
      <c r="C207" s="8" t="str">
        <f>CONCATENATE($C$35,".124.","/",$C$35,".125.")</f>
        <v>10.10.124./10.10.125.</v>
      </c>
      <c r="D207" s="144">
        <v>146</v>
      </c>
      <c r="E207" s="30">
        <v>146</v>
      </c>
    </row>
    <row r="208" spans="2:5" ht="12.75">
      <c r="B208" s="2" t="s">
        <v>573</v>
      </c>
      <c r="C208" s="8" t="str">
        <f>CONCATENATE($C$35,".124.","/",$C$35,".125.")</f>
        <v>10.10.124./10.10.125.</v>
      </c>
      <c r="D208" s="144">
        <v>205</v>
      </c>
      <c r="E208" s="30">
        <v>205</v>
      </c>
    </row>
    <row r="209" spans="2:5" ht="12.75">
      <c r="B209" s="2" t="s">
        <v>572</v>
      </c>
      <c r="C209" s="8" t="str">
        <f>CONCATENATE($C$35,".124.","/",$C$35,".125.")</f>
        <v>10.10.124./10.10.125.</v>
      </c>
      <c r="D209" s="144">
        <v>235</v>
      </c>
      <c r="E209" s="30">
        <v>235</v>
      </c>
    </row>
    <row r="212" spans="1:256" ht="12.75">
      <c r="A212" s="35"/>
      <c r="B212" s="35"/>
      <c r="C212" s="35"/>
      <c r="D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35"/>
      <c r="DL212" s="35"/>
      <c r="DM212" s="35"/>
      <c r="DN212" s="35"/>
      <c r="DO212" s="35"/>
      <c r="DP212" s="35"/>
      <c r="DQ212" s="35"/>
      <c r="DR212" s="35"/>
      <c r="DS212" s="35"/>
      <c r="DT212" s="35"/>
      <c r="DU212" s="35"/>
      <c r="DV212" s="35"/>
      <c r="DW212" s="35"/>
      <c r="DX212" s="35"/>
      <c r="DY212" s="35"/>
      <c r="DZ212" s="35"/>
      <c r="EA212" s="35"/>
      <c r="EB212" s="35"/>
      <c r="EC212" s="35"/>
      <c r="ED212" s="35"/>
      <c r="EE212" s="35"/>
      <c r="EF212" s="35"/>
      <c r="EG212" s="35"/>
      <c r="EH212" s="35"/>
      <c r="EI212" s="35"/>
      <c r="EJ212" s="35"/>
      <c r="EK212" s="35"/>
      <c r="EL212" s="35"/>
      <c r="EM212" s="35"/>
      <c r="EN212" s="35"/>
      <c r="EO212" s="35"/>
      <c r="EP212" s="35"/>
      <c r="EQ212" s="35"/>
      <c r="ER212" s="35"/>
      <c r="ES212" s="35"/>
      <c r="ET212" s="35"/>
      <c r="EU212" s="35"/>
      <c r="EV212" s="35"/>
      <c r="EW212" s="35"/>
      <c r="EX212" s="35"/>
      <c r="EY212" s="35"/>
      <c r="EZ212" s="35"/>
      <c r="FA212" s="35"/>
      <c r="FB212" s="35"/>
      <c r="FC212" s="35"/>
      <c r="FD212" s="35"/>
      <c r="FE212" s="35"/>
      <c r="FF212" s="35"/>
      <c r="FG212" s="35"/>
      <c r="FH212" s="35"/>
      <c r="FI212" s="35"/>
      <c r="FJ212" s="35"/>
      <c r="FK212" s="35"/>
      <c r="FL212" s="35"/>
      <c r="FM212" s="35"/>
      <c r="FN212" s="35"/>
      <c r="FO212" s="35"/>
      <c r="FP212" s="35"/>
      <c r="FQ212" s="35"/>
      <c r="FR212" s="35"/>
      <c r="FS212" s="35"/>
      <c r="FT212" s="35"/>
      <c r="FU212" s="35"/>
      <c r="FV212" s="35"/>
      <c r="FW212" s="35"/>
      <c r="FX212" s="35"/>
      <c r="FY212" s="35"/>
      <c r="FZ212" s="35"/>
      <c r="GA212" s="35"/>
      <c r="GB212" s="35"/>
      <c r="GC212" s="35"/>
      <c r="GD212" s="35"/>
      <c r="GE212" s="35"/>
      <c r="GF212" s="35"/>
      <c r="GG212" s="35"/>
      <c r="GH212" s="35"/>
      <c r="GI212" s="35"/>
      <c r="GJ212" s="35"/>
      <c r="GK212" s="35"/>
      <c r="GL212" s="35"/>
      <c r="GM212" s="35"/>
      <c r="GN212" s="35"/>
      <c r="GO212" s="35"/>
      <c r="GP212" s="35"/>
      <c r="GQ212" s="35"/>
      <c r="GR212" s="35"/>
      <c r="GS212" s="35"/>
      <c r="GT212" s="35"/>
      <c r="GU212" s="35"/>
      <c r="GV212" s="35"/>
      <c r="GW212" s="35"/>
      <c r="GX212" s="35"/>
      <c r="GY212" s="35"/>
      <c r="GZ212" s="35"/>
      <c r="HA212" s="35"/>
      <c r="HB212" s="35"/>
      <c r="HC212" s="35"/>
      <c r="HD212" s="35"/>
      <c r="HE212" s="35"/>
      <c r="HF212" s="35"/>
      <c r="HG212" s="35"/>
      <c r="HH212" s="35"/>
      <c r="HI212" s="35"/>
      <c r="HJ212" s="35"/>
      <c r="HK212" s="35"/>
      <c r="HL212" s="35"/>
      <c r="HM212" s="35"/>
      <c r="HN212" s="35"/>
      <c r="HO212" s="35"/>
      <c r="HP212" s="35"/>
      <c r="HQ212" s="35"/>
      <c r="HR212" s="35"/>
      <c r="HS212" s="35"/>
      <c r="HT212" s="35"/>
      <c r="HU212" s="35"/>
      <c r="HV212" s="35"/>
      <c r="HW212" s="35"/>
      <c r="HX212" s="35"/>
      <c r="HY212" s="35"/>
      <c r="HZ212" s="35"/>
      <c r="IA212" s="35"/>
      <c r="IB212" s="35"/>
      <c r="IC212" s="35"/>
      <c r="ID212" s="35"/>
      <c r="IE212" s="35"/>
      <c r="IF212" s="35"/>
      <c r="IG212" s="35"/>
      <c r="IH212" s="35"/>
      <c r="II212" s="35"/>
      <c r="IJ212" s="35"/>
      <c r="IK212" s="35"/>
      <c r="IL212" s="35"/>
      <c r="IM212" s="35"/>
      <c r="IN212" s="35"/>
      <c r="IO212" s="35"/>
      <c r="IP212" s="35"/>
      <c r="IQ212" s="35"/>
      <c r="IR212" s="35"/>
      <c r="IS212" s="35"/>
      <c r="IT212" s="35"/>
      <c r="IU212" s="35"/>
      <c r="IV212" s="35"/>
    </row>
    <row r="213" spans="1:256" ht="12.75">
      <c r="A213" s="35"/>
      <c r="B213" s="35"/>
      <c r="C213" s="35"/>
      <c r="D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35"/>
      <c r="DL213" s="35"/>
      <c r="DM213" s="35"/>
      <c r="DN213" s="35"/>
      <c r="DO213" s="35"/>
      <c r="DP213" s="35"/>
      <c r="DQ213" s="35"/>
      <c r="DR213" s="35"/>
      <c r="DS213" s="35"/>
      <c r="DT213" s="35"/>
      <c r="DU213" s="35"/>
      <c r="DV213" s="35"/>
      <c r="DW213" s="35"/>
      <c r="DX213" s="35"/>
      <c r="DY213" s="35"/>
      <c r="DZ213" s="35"/>
      <c r="EA213" s="35"/>
      <c r="EB213" s="35"/>
      <c r="EC213" s="35"/>
      <c r="ED213" s="35"/>
      <c r="EE213" s="35"/>
      <c r="EF213" s="35"/>
      <c r="EG213" s="35"/>
      <c r="EH213" s="35"/>
      <c r="EI213" s="35"/>
      <c r="EJ213" s="35"/>
      <c r="EK213" s="35"/>
      <c r="EL213" s="35"/>
      <c r="EM213" s="35"/>
      <c r="EN213" s="35"/>
      <c r="EO213" s="35"/>
      <c r="EP213" s="35"/>
      <c r="EQ213" s="35"/>
      <c r="ER213" s="35"/>
      <c r="ES213" s="35"/>
      <c r="ET213" s="35"/>
      <c r="EU213" s="35"/>
      <c r="EV213" s="35"/>
      <c r="EW213" s="35"/>
      <c r="EX213" s="35"/>
      <c r="EY213" s="35"/>
      <c r="EZ213" s="35"/>
      <c r="FA213" s="35"/>
      <c r="FB213" s="35"/>
      <c r="FC213" s="35"/>
      <c r="FD213" s="35"/>
      <c r="FE213" s="35"/>
      <c r="FF213" s="35"/>
      <c r="FG213" s="35"/>
      <c r="FH213" s="35"/>
      <c r="FI213" s="35"/>
      <c r="FJ213" s="35"/>
      <c r="FK213" s="35"/>
      <c r="FL213" s="35"/>
      <c r="FM213" s="35"/>
      <c r="FN213" s="35"/>
      <c r="FO213" s="35"/>
      <c r="FP213" s="35"/>
      <c r="FQ213" s="35"/>
      <c r="FR213" s="35"/>
      <c r="FS213" s="35"/>
      <c r="FT213" s="35"/>
      <c r="FU213" s="35"/>
      <c r="FV213" s="35"/>
      <c r="FW213" s="35"/>
      <c r="FX213" s="35"/>
      <c r="FY213" s="35"/>
      <c r="FZ213" s="35"/>
      <c r="GA213" s="35"/>
      <c r="GB213" s="35"/>
      <c r="GC213" s="35"/>
      <c r="GD213" s="35"/>
      <c r="GE213" s="35"/>
      <c r="GF213" s="35"/>
      <c r="GG213" s="35"/>
      <c r="GH213" s="35"/>
      <c r="GI213" s="35"/>
      <c r="GJ213" s="35"/>
      <c r="GK213" s="35"/>
      <c r="GL213" s="35"/>
      <c r="GM213" s="35"/>
      <c r="GN213" s="35"/>
      <c r="GO213" s="35"/>
      <c r="GP213" s="35"/>
      <c r="GQ213" s="35"/>
      <c r="GR213" s="35"/>
      <c r="GS213" s="35"/>
      <c r="GT213" s="35"/>
      <c r="GU213" s="35"/>
      <c r="GV213" s="35"/>
      <c r="GW213" s="35"/>
      <c r="GX213" s="35"/>
      <c r="GY213" s="35"/>
      <c r="GZ213" s="35"/>
      <c r="HA213" s="35"/>
      <c r="HB213" s="35"/>
      <c r="HC213" s="35"/>
      <c r="HD213" s="35"/>
      <c r="HE213" s="35"/>
      <c r="HF213" s="35"/>
      <c r="HG213" s="35"/>
      <c r="HH213" s="35"/>
      <c r="HI213" s="35"/>
      <c r="HJ213" s="35"/>
      <c r="HK213" s="35"/>
      <c r="HL213" s="35"/>
      <c r="HM213" s="35"/>
      <c r="HN213" s="35"/>
      <c r="HO213" s="35"/>
      <c r="HP213" s="35"/>
      <c r="HQ213" s="35"/>
      <c r="HR213" s="35"/>
      <c r="HS213" s="35"/>
      <c r="HT213" s="35"/>
      <c r="HU213" s="35"/>
      <c r="HV213" s="35"/>
      <c r="HW213" s="35"/>
      <c r="HX213" s="35"/>
      <c r="HY213" s="35"/>
      <c r="HZ213" s="35"/>
      <c r="IA213" s="35"/>
      <c r="IB213" s="35"/>
      <c r="IC213" s="35"/>
      <c r="ID213" s="35"/>
      <c r="IE213" s="35"/>
      <c r="IF213" s="35"/>
      <c r="IG213" s="35"/>
      <c r="IH213" s="35"/>
      <c r="II213" s="35"/>
      <c r="IJ213" s="35"/>
      <c r="IK213" s="35"/>
      <c r="IL213" s="35"/>
      <c r="IM213" s="35"/>
      <c r="IN213" s="35"/>
      <c r="IO213" s="35"/>
      <c r="IP213" s="35"/>
      <c r="IQ213" s="35"/>
      <c r="IR213" s="35"/>
      <c r="IS213" s="35"/>
      <c r="IT213" s="35"/>
      <c r="IU213" s="35"/>
      <c r="IV213" s="35"/>
    </row>
    <row r="214" spans="1:256" ht="12.75">
      <c r="A214" s="35"/>
      <c r="B214" s="35"/>
      <c r="C214" s="35"/>
      <c r="D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35"/>
      <c r="EF214" s="35"/>
      <c r="EG214" s="35"/>
      <c r="EH214" s="35"/>
      <c r="EI214" s="35"/>
      <c r="EJ214" s="35"/>
      <c r="EK214" s="35"/>
      <c r="EL214" s="35"/>
      <c r="EM214" s="35"/>
      <c r="EN214" s="35"/>
      <c r="EO214" s="35"/>
      <c r="EP214" s="35"/>
      <c r="EQ214" s="35"/>
      <c r="ER214" s="35"/>
      <c r="ES214" s="35"/>
      <c r="ET214" s="35"/>
      <c r="EU214" s="35"/>
      <c r="EV214" s="35"/>
      <c r="EW214" s="35"/>
      <c r="EX214" s="35"/>
      <c r="EY214" s="35"/>
      <c r="EZ214" s="35"/>
      <c r="FA214" s="35"/>
      <c r="FB214" s="35"/>
      <c r="FC214" s="35"/>
      <c r="FD214" s="35"/>
      <c r="FE214" s="35"/>
      <c r="FF214" s="35"/>
      <c r="FG214" s="35"/>
      <c r="FH214" s="35"/>
      <c r="FI214" s="35"/>
      <c r="FJ214" s="35"/>
      <c r="FK214" s="35"/>
      <c r="FL214" s="35"/>
      <c r="FM214" s="35"/>
      <c r="FN214" s="35"/>
      <c r="FO214" s="35"/>
      <c r="FP214" s="35"/>
      <c r="FQ214" s="35"/>
      <c r="FR214" s="35"/>
      <c r="FS214" s="35"/>
      <c r="FT214" s="35"/>
      <c r="FU214" s="35"/>
      <c r="FV214" s="35"/>
      <c r="FW214" s="35"/>
      <c r="FX214" s="35"/>
      <c r="FY214" s="35"/>
      <c r="FZ214" s="35"/>
      <c r="GA214" s="35"/>
      <c r="GB214" s="35"/>
      <c r="GC214" s="35"/>
      <c r="GD214" s="35"/>
      <c r="GE214" s="35"/>
      <c r="GF214" s="35"/>
      <c r="GG214" s="35"/>
      <c r="GH214" s="35"/>
      <c r="GI214" s="35"/>
      <c r="GJ214" s="35"/>
      <c r="GK214" s="35"/>
      <c r="GL214" s="35"/>
      <c r="GM214" s="35"/>
      <c r="GN214" s="35"/>
      <c r="GO214" s="35"/>
      <c r="GP214" s="35"/>
      <c r="GQ214" s="35"/>
      <c r="GR214" s="35"/>
      <c r="GS214" s="35"/>
      <c r="GT214" s="35"/>
      <c r="GU214" s="35"/>
      <c r="GV214" s="35"/>
      <c r="GW214" s="35"/>
      <c r="GX214" s="35"/>
      <c r="GY214" s="35"/>
      <c r="GZ214" s="35"/>
      <c r="HA214" s="35"/>
      <c r="HB214" s="35"/>
      <c r="HC214" s="35"/>
      <c r="HD214" s="35"/>
      <c r="HE214" s="35"/>
      <c r="HF214" s="35"/>
      <c r="HG214" s="35"/>
      <c r="HH214" s="35"/>
      <c r="HI214" s="35"/>
      <c r="HJ214" s="35"/>
      <c r="HK214" s="35"/>
      <c r="HL214" s="35"/>
      <c r="HM214" s="35"/>
      <c r="HN214" s="35"/>
      <c r="HO214" s="35"/>
      <c r="HP214" s="35"/>
      <c r="HQ214" s="35"/>
      <c r="HR214" s="35"/>
      <c r="HS214" s="35"/>
      <c r="HT214" s="35"/>
      <c r="HU214" s="35"/>
      <c r="HV214" s="35"/>
      <c r="HW214" s="35"/>
      <c r="HX214" s="35"/>
      <c r="HY214" s="35"/>
      <c r="HZ214" s="35"/>
      <c r="IA214" s="35"/>
      <c r="IB214" s="35"/>
      <c r="IC214" s="35"/>
      <c r="ID214" s="35"/>
      <c r="IE214" s="35"/>
      <c r="IF214" s="35"/>
      <c r="IG214" s="35"/>
      <c r="IH214" s="35"/>
      <c r="II214" s="35"/>
      <c r="IJ214" s="35"/>
      <c r="IK214" s="35"/>
      <c r="IL214" s="35"/>
      <c r="IM214" s="35"/>
      <c r="IN214" s="35"/>
      <c r="IO214" s="35"/>
      <c r="IP214" s="35"/>
      <c r="IQ214" s="35"/>
      <c r="IR214" s="35"/>
      <c r="IS214" s="35"/>
      <c r="IT214" s="35"/>
      <c r="IU214" s="35"/>
      <c r="IV214" s="35"/>
    </row>
    <row r="215" spans="1:256" ht="12.75">
      <c r="A215" s="35"/>
      <c r="B215" s="35"/>
      <c r="C215" s="35"/>
      <c r="D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c r="CN215" s="35"/>
      <c r="CO215" s="35"/>
      <c r="CP215" s="35"/>
      <c r="CQ215" s="35"/>
      <c r="CR215" s="35"/>
      <c r="CS215" s="35"/>
      <c r="CT215" s="35"/>
      <c r="CU215" s="35"/>
      <c r="CV215" s="35"/>
      <c r="CW215" s="35"/>
      <c r="CX215" s="35"/>
      <c r="CY215" s="35"/>
      <c r="CZ215" s="35"/>
      <c r="DA215" s="35"/>
      <c r="DB215" s="35"/>
      <c r="DC215" s="35"/>
      <c r="DD215" s="35"/>
      <c r="DE215" s="35"/>
      <c r="DF215" s="35"/>
      <c r="DG215" s="35"/>
      <c r="DH215" s="35"/>
      <c r="DI215" s="35"/>
      <c r="DJ215" s="35"/>
      <c r="DK215" s="35"/>
      <c r="DL215" s="35"/>
      <c r="DM215" s="35"/>
      <c r="DN215" s="35"/>
      <c r="DO215" s="35"/>
      <c r="DP215" s="35"/>
      <c r="DQ215" s="35"/>
      <c r="DR215" s="35"/>
      <c r="DS215" s="35"/>
      <c r="DT215" s="35"/>
      <c r="DU215" s="35"/>
      <c r="DV215" s="35"/>
      <c r="DW215" s="35"/>
      <c r="DX215" s="35"/>
      <c r="DY215" s="35"/>
      <c r="DZ215" s="35"/>
      <c r="EA215" s="35"/>
      <c r="EB215" s="35"/>
      <c r="EC215" s="35"/>
      <c r="ED215" s="35"/>
      <c r="EE215" s="35"/>
      <c r="EF215" s="35"/>
      <c r="EG215" s="35"/>
      <c r="EH215" s="35"/>
      <c r="EI215" s="35"/>
      <c r="EJ215" s="35"/>
      <c r="EK215" s="35"/>
      <c r="EL215" s="35"/>
      <c r="EM215" s="35"/>
      <c r="EN215" s="35"/>
      <c r="EO215" s="35"/>
      <c r="EP215" s="35"/>
      <c r="EQ215" s="35"/>
      <c r="ER215" s="35"/>
      <c r="ES215" s="35"/>
      <c r="ET215" s="35"/>
      <c r="EU215" s="35"/>
      <c r="EV215" s="35"/>
      <c r="EW215" s="35"/>
      <c r="EX215" s="35"/>
      <c r="EY215" s="35"/>
      <c r="EZ215" s="35"/>
      <c r="FA215" s="35"/>
      <c r="FB215" s="35"/>
      <c r="FC215" s="35"/>
      <c r="FD215" s="35"/>
      <c r="FE215" s="35"/>
      <c r="FF215" s="35"/>
      <c r="FG215" s="35"/>
      <c r="FH215" s="35"/>
      <c r="FI215" s="35"/>
      <c r="FJ215" s="35"/>
      <c r="FK215" s="35"/>
      <c r="FL215" s="35"/>
      <c r="FM215" s="35"/>
      <c r="FN215" s="35"/>
      <c r="FO215" s="35"/>
      <c r="FP215" s="35"/>
      <c r="FQ215" s="35"/>
      <c r="FR215" s="35"/>
      <c r="FS215" s="35"/>
      <c r="FT215" s="35"/>
      <c r="FU215" s="35"/>
      <c r="FV215" s="35"/>
      <c r="FW215" s="35"/>
      <c r="FX215" s="35"/>
      <c r="FY215" s="35"/>
      <c r="FZ215" s="35"/>
      <c r="GA215" s="35"/>
      <c r="GB215" s="35"/>
      <c r="GC215" s="35"/>
      <c r="GD215" s="35"/>
      <c r="GE215" s="35"/>
      <c r="GF215" s="35"/>
      <c r="GG215" s="35"/>
      <c r="GH215" s="35"/>
      <c r="GI215" s="35"/>
      <c r="GJ215" s="35"/>
      <c r="GK215" s="35"/>
      <c r="GL215" s="35"/>
      <c r="GM215" s="35"/>
      <c r="GN215" s="35"/>
      <c r="GO215" s="35"/>
      <c r="GP215" s="35"/>
      <c r="GQ215" s="35"/>
      <c r="GR215" s="35"/>
      <c r="GS215" s="35"/>
      <c r="GT215" s="35"/>
      <c r="GU215" s="35"/>
      <c r="GV215" s="35"/>
      <c r="GW215" s="35"/>
      <c r="GX215" s="35"/>
      <c r="GY215" s="35"/>
      <c r="GZ215" s="35"/>
      <c r="HA215" s="35"/>
      <c r="HB215" s="35"/>
      <c r="HC215" s="35"/>
      <c r="HD215" s="35"/>
      <c r="HE215" s="35"/>
      <c r="HF215" s="35"/>
      <c r="HG215" s="35"/>
      <c r="HH215" s="35"/>
      <c r="HI215" s="35"/>
      <c r="HJ215" s="35"/>
      <c r="HK215" s="35"/>
      <c r="HL215" s="35"/>
      <c r="HM215" s="35"/>
      <c r="HN215" s="35"/>
      <c r="HO215" s="35"/>
      <c r="HP215" s="35"/>
      <c r="HQ215" s="35"/>
      <c r="HR215" s="35"/>
      <c r="HS215" s="35"/>
      <c r="HT215" s="35"/>
      <c r="HU215" s="35"/>
      <c r="HV215" s="35"/>
      <c r="HW215" s="35"/>
      <c r="HX215" s="35"/>
      <c r="HY215" s="35"/>
      <c r="HZ215" s="35"/>
      <c r="IA215" s="35"/>
      <c r="IB215" s="35"/>
      <c r="IC215" s="35"/>
      <c r="ID215" s="35"/>
      <c r="IE215" s="35"/>
      <c r="IF215" s="35"/>
      <c r="IG215" s="35"/>
      <c r="IH215" s="35"/>
      <c r="II215" s="35"/>
      <c r="IJ215" s="35"/>
      <c r="IK215" s="35"/>
      <c r="IL215" s="35"/>
      <c r="IM215" s="35"/>
      <c r="IN215" s="35"/>
      <c r="IO215" s="35"/>
      <c r="IP215" s="35"/>
      <c r="IQ215" s="35"/>
      <c r="IR215" s="35"/>
      <c r="IS215" s="35"/>
      <c r="IT215" s="35"/>
      <c r="IU215" s="35"/>
      <c r="IV215" s="35"/>
    </row>
    <row r="216" spans="1:256" ht="12.75">
      <c r="A216" s="35"/>
      <c r="B216" s="35"/>
      <c r="C216" s="35"/>
      <c r="D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c r="CN216" s="35"/>
      <c r="CO216" s="35"/>
      <c r="CP216" s="35"/>
      <c r="CQ216" s="35"/>
      <c r="CR216" s="35"/>
      <c r="CS216" s="35"/>
      <c r="CT216" s="35"/>
      <c r="CU216" s="35"/>
      <c r="CV216" s="35"/>
      <c r="CW216" s="35"/>
      <c r="CX216" s="35"/>
      <c r="CY216" s="35"/>
      <c r="CZ216" s="35"/>
      <c r="DA216" s="35"/>
      <c r="DB216" s="35"/>
      <c r="DC216" s="35"/>
      <c r="DD216" s="35"/>
      <c r="DE216" s="35"/>
      <c r="DF216" s="35"/>
      <c r="DG216" s="35"/>
      <c r="DH216" s="35"/>
      <c r="DI216" s="35"/>
      <c r="DJ216" s="35"/>
      <c r="DK216" s="35"/>
      <c r="DL216" s="35"/>
      <c r="DM216" s="35"/>
      <c r="DN216" s="35"/>
      <c r="DO216" s="35"/>
      <c r="DP216" s="35"/>
      <c r="DQ216" s="35"/>
      <c r="DR216" s="35"/>
      <c r="DS216" s="35"/>
      <c r="DT216" s="35"/>
      <c r="DU216" s="35"/>
      <c r="DV216" s="35"/>
      <c r="DW216" s="35"/>
      <c r="DX216" s="35"/>
      <c r="DY216" s="35"/>
      <c r="DZ216" s="35"/>
      <c r="EA216" s="35"/>
      <c r="EB216" s="35"/>
      <c r="EC216" s="35"/>
      <c r="ED216" s="35"/>
      <c r="EE216" s="35"/>
      <c r="EF216" s="35"/>
      <c r="EG216" s="35"/>
      <c r="EH216" s="35"/>
      <c r="EI216" s="35"/>
      <c r="EJ216" s="35"/>
      <c r="EK216" s="35"/>
      <c r="EL216" s="35"/>
      <c r="EM216" s="35"/>
      <c r="EN216" s="35"/>
      <c r="EO216" s="35"/>
      <c r="EP216" s="35"/>
      <c r="EQ216" s="35"/>
      <c r="ER216" s="35"/>
      <c r="ES216" s="35"/>
      <c r="ET216" s="35"/>
      <c r="EU216" s="35"/>
      <c r="EV216" s="35"/>
      <c r="EW216" s="35"/>
      <c r="EX216" s="35"/>
      <c r="EY216" s="35"/>
      <c r="EZ216" s="35"/>
      <c r="FA216" s="35"/>
      <c r="FB216" s="35"/>
      <c r="FC216" s="35"/>
      <c r="FD216" s="35"/>
      <c r="FE216" s="35"/>
      <c r="FF216" s="35"/>
      <c r="FG216" s="35"/>
      <c r="FH216" s="35"/>
      <c r="FI216" s="35"/>
      <c r="FJ216" s="35"/>
      <c r="FK216" s="35"/>
      <c r="FL216" s="35"/>
      <c r="FM216" s="35"/>
      <c r="FN216" s="35"/>
      <c r="FO216" s="35"/>
      <c r="FP216" s="35"/>
      <c r="FQ216" s="35"/>
      <c r="FR216" s="35"/>
      <c r="FS216" s="35"/>
      <c r="FT216" s="35"/>
      <c r="FU216" s="35"/>
      <c r="FV216" s="35"/>
      <c r="FW216" s="35"/>
      <c r="FX216" s="35"/>
      <c r="FY216" s="35"/>
      <c r="FZ216" s="35"/>
      <c r="GA216" s="35"/>
      <c r="GB216" s="35"/>
      <c r="GC216" s="35"/>
      <c r="GD216" s="35"/>
      <c r="GE216" s="35"/>
      <c r="GF216" s="35"/>
      <c r="GG216" s="35"/>
      <c r="GH216" s="35"/>
      <c r="GI216" s="35"/>
      <c r="GJ216" s="35"/>
      <c r="GK216" s="35"/>
      <c r="GL216" s="35"/>
      <c r="GM216" s="35"/>
      <c r="GN216" s="35"/>
      <c r="GO216" s="35"/>
      <c r="GP216" s="35"/>
      <c r="GQ216" s="35"/>
      <c r="GR216" s="35"/>
      <c r="GS216" s="35"/>
      <c r="GT216" s="35"/>
      <c r="GU216" s="35"/>
      <c r="GV216" s="35"/>
      <c r="GW216" s="35"/>
      <c r="GX216" s="35"/>
      <c r="GY216" s="35"/>
      <c r="GZ216" s="35"/>
      <c r="HA216" s="35"/>
      <c r="HB216" s="35"/>
      <c r="HC216" s="35"/>
      <c r="HD216" s="35"/>
      <c r="HE216" s="35"/>
      <c r="HF216" s="35"/>
      <c r="HG216" s="35"/>
      <c r="HH216" s="35"/>
      <c r="HI216" s="35"/>
      <c r="HJ216" s="35"/>
      <c r="HK216" s="35"/>
      <c r="HL216" s="35"/>
      <c r="HM216" s="35"/>
      <c r="HN216" s="35"/>
      <c r="HO216" s="35"/>
      <c r="HP216" s="35"/>
      <c r="HQ216" s="35"/>
      <c r="HR216" s="35"/>
      <c r="HS216" s="35"/>
      <c r="HT216" s="35"/>
      <c r="HU216" s="35"/>
      <c r="HV216" s="35"/>
      <c r="HW216" s="35"/>
      <c r="HX216" s="35"/>
      <c r="HY216" s="35"/>
      <c r="HZ216" s="35"/>
      <c r="IA216" s="35"/>
      <c r="IB216" s="35"/>
      <c r="IC216" s="35"/>
      <c r="ID216" s="35"/>
      <c r="IE216" s="35"/>
      <c r="IF216" s="35"/>
      <c r="IG216" s="35"/>
      <c r="IH216" s="35"/>
      <c r="II216" s="35"/>
      <c r="IJ216" s="35"/>
      <c r="IK216" s="35"/>
      <c r="IL216" s="35"/>
      <c r="IM216" s="35"/>
      <c r="IN216" s="35"/>
      <c r="IO216" s="35"/>
      <c r="IP216" s="35"/>
      <c r="IQ216" s="35"/>
      <c r="IR216" s="35"/>
      <c r="IS216" s="35"/>
      <c r="IT216" s="35"/>
      <c r="IU216" s="35"/>
      <c r="IV216" s="35"/>
    </row>
    <row r="217" spans="1:256" ht="12.75">
      <c r="A217" s="35"/>
      <c r="B217" s="35"/>
      <c r="C217" s="35"/>
      <c r="D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35"/>
      <c r="CQ217" s="35"/>
      <c r="CR217" s="35"/>
      <c r="CS217" s="35"/>
      <c r="CT217" s="35"/>
      <c r="CU217" s="35"/>
      <c r="CV217" s="35"/>
      <c r="CW217" s="35"/>
      <c r="CX217" s="35"/>
      <c r="CY217" s="35"/>
      <c r="CZ217" s="35"/>
      <c r="DA217" s="35"/>
      <c r="DB217" s="35"/>
      <c r="DC217" s="35"/>
      <c r="DD217" s="35"/>
      <c r="DE217" s="35"/>
      <c r="DF217" s="35"/>
      <c r="DG217" s="35"/>
      <c r="DH217" s="35"/>
      <c r="DI217" s="35"/>
      <c r="DJ217" s="35"/>
      <c r="DK217" s="35"/>
      <c r="DL217" s="35"/>
      <c r="DM217" s="35"/>
      <c r="DN217" s="35"/>
      <c r="DO217" s="35"/>
      <c r="DP217" s="35"/>
      <c r="DQ217" s="35"/>
      <c r="DR217" s="35"/>
      <c r="DS217" s="35"/>
      <c r="DT217" s="35"/>
      <c r="DU217" s="35"/>
      <c r="DV217" s="35"/>
      <c r="DW217" s="35"/>
      <c r="DX217" s="35"/>
      <c r="DY217" s="35"/>
      <c r="DZ217" s="35"/>
      <c r="EA217" s="35"/>
      <c r="EB217" s="35"/>
      <c r="EC217" s="35"/>
      <c r="ED217" s="35"/>
      <c r="EE217" s="35"/>
      <c r="EF217" s="35"/>
      <c r="EG217" s="35"/>
      <c r="EH217" s="35"/>
      <c r="EI217" s="35"/>
      <c r="EJ217" s="35"/>
      <c r="EK217" s="35"/>
      <c r="EL217" s="35"/>
      <c r="EM217" s="35"/>
      <c r="EN217" s="35"/>
      <c r="EO217" s="35"/>
      <c r="EP217" s="35"/>
      <c r="EQ217" s="35"/>
      <c r="ER217" s="35"/>
      <c r="ES217" s="35"/>
      <c r="ET217" s="35"/>
      <c r="EU217" s="35"/>
      <c r="EV217" s="35"/>
      <c r="EW217" s="35"/>
      <c r="EX217" s="35"/>
      <c r="EY217" s="35"/>
      <c r="EZ217" s="35"/>
      <c r="FA217" s="35"/>
      <c r="FB217" s="35"/>
      <c r="FC217" s="35"/>
      <c r="FD217" s="35"/>
      <c r="FE217" s="35"/>
      <c r="FF217" s="35"/>
      <c r="FG217" s="35"/>
      <c r="FH217" s="35"/>
      <c r="FI217" s="35"/>
      <c r="FJ217" s="35"/>
      <c r="FK217" s="35"/>
      <c r="FL217" s="35"/>
      <c r="FM217" s="35"/>
      <c r="FN217" s="35"/>
      <c r="FO217" s="35"/>
      <c r="FP217" s="35"/>
      <c r="FQ217" s="35"/>
      <c r="FR217" s="35"/>
      <c r="FS217" s="35"/>
      <c r="FT217" s="35"/>
      <c r="FU217" s="35"/>
      <c r="FV217" s="35"/>
      <c r="FW217" s="35"/>
      <c r="FX217" s="35"/>
      <c r="FY217" s="35"/>
      <c r="FZ217" s="35"/>
      <c r="GA217" s="35"/>
      <c r="GB217" s="35"/>
      <c r="GC217" s="35"/>
      <c r="GD217" s="35"/>
      <c r="GE217" s="35"/>
      <c r="GF217" s="35"/>
      <c r="GG217" s="35"/>
      <c r="GH217" s="35"/>
      <c r="GI217" s="35"/>
      <c r="GJ217" s="35"/>
      <c r="GK217" s="35"/>
      <c r="GL217" s="35"/>
      <c r="GM217" s="35"/>
      <c r="GN217" s="35"/>
      <c r="GO217" s="35"/>
      <c r="GP217" s="35"/>
      <c r="GQ217" s="35"/>
      <c r="GR217" s="35"/>
      <c r="GS217" s="35"/>
      <c r="GT217" s="35"/>
      <c r="GU217" s="35"/>
      <c r="GV217" s="35"/>
      <c r="GW217" s="35"/>
      <c r="GX217" s="35"/>
      <c r="GY217" s="35"/>
      <c r="GZ217" s="35"/>
      <c r="HA217" s="35"/>
      <c r="HB217" s="35"/>
      <c r="HC217" s="35"/>
      <c r="HD217" s="35"/>
      <c r="HE217" s="35"/>
      <c r="HF217" s="35"/>
      <c r="HG217" s="35"/>
      <c r="HH217" s="35"/>
      <c r="HI217" s="35"/>
      <c r="HJ217" s="35"/>
      <c r="HK217" s="35"/>
      <c r="HL217" s="35"/>
      <c r="HM217" s="35"/>
      <c r="HN217" s="35"/>
      <c r="HO217" s="35"/>
      <c r="HP217" s="35"/>
      <c r="HQ217" s="35"/>
      <c r="HR217" s="35"/>
      <c r="HS217" s="35"/>
      <c r="HT217" s="35"/>
      <c r="HU217" s="35"/>
      <c r="HV217" s="35"/>
      <c r="HW217" s="35"/>
      <c r="HX217" s="35"/>
      <c r="HY217" s="35"/>
      <c r="HZ217" s="35"/>
      <c r="IA217" s="35"/>
      <c r="IB217" s="35"/>
      <c r="IC217" s="35"/>
      <c r="ID217" s="35"/>
      <c r="IE217" s="35"/>
      <c r="IF217" s="35"/>
      <c r="IG217" s="35"/>
      <c r="IH217" s="35"/>
      <c r="II217" s="35"/>
      <c r="IJ217" s="35"/>
      <c r="IK217" s="35"/>
      <c r="IL217" s="35"/>
      <c r="IM217" s="35"/>
      <c r="IN217" s="35"/>
      <c r="IO217" s="35"/>
      <c r="IP217" s="35"/>
      <c r="IQ217" s="35"/>
      <c r="IR217" s="35"/>
      <c r="IS217" s="35"/>
      <c r="IT217" s="35"/>
      <c r="IU217" s="35"/>
      <c r="IV217" s="35"/>
    </row>
  </sheetData>
  <sheetProtection/>
  <mergeCells count="86">
    <mergeCell ref="C183:D183"/>
    <mergeCell ref="H86:H87"/>
    <mergeCell ref="H88:H89"/>
    <mergeCell ref="H95:H96"/>
    <mergeCell ref="H93:H94"/>
    <mergeCell ref="F86:G86"/>
    <mergeCell ref="E121:E122"/>
    <mergeCell ref="E107:E108"/>
    <mergeCell ref="C114:D114"/>
    <mergeCell ref="E114:E115"/>
    <mergeCell ref="B107:B108"/>
    <mergeCell ref="C150:D150"/>
    <mergeCell ref="B86:B87"/>
    <mergeCell ref="B114:B115"/>
    <mergeCell ref="B121:B122"/>
    <mergeCell ref="B93:B94"/>
    <mergeCell ref="B100:B101"/>
    <mergeCell ref="C88:D88"/>
    <mergeCell ref="C86:D87"/>
    <mergeCell ref="F93:G93"/>
    <mergeCell ref="C151:D151"/>
    <mergeCell ref="C100:D100"/>
    <mergeCell ref="C89:D89"/>
    <mergeCell ref="C95:D95"/>
    <mergeCell ref="C96:D96"/>
    <mergeCell ref="C93:D94"/>
    <mergeCell ref="C121:D121"/>
    <mergeCell ref="C131:D131"/>
    <mergeCell ref="C107:D107"/>
    <mergeCell ref="C155:D155"/>
    <mergeCell ref="C163:D163"/>
    <mergeCell ref="C156:D156"/>
    <mergeCell ref="C157:D157"/>
    <mergeCell ref="C158:D158"/>
    <mergeCell ref="C159:D159"/>
    <mergeCell ref="C166:D166"/>
    <mergeCell ref="C167:D167"/>
    <mergeCell ref="C171:D171"/>
    <mergeCell ref="C177:D177"/>
    <mergeCell ref="C172:D172"/>
    <mergeCell ref="C173:D173"/>
    <mergeCell ref="B65:B66"/>
    <mergeCell ref="C76:D76"/>
    <mergeCell ref="C77:D77"/>
    <mergeCell ref="C78:D78"/>
    <mergeCell ref="C10:D10"/>
    <mergeCell ref="C143:D143"/>
    <mergeCell ref="C149:D149"/>
    <mergeCell ref="C144:D144"/>
    <mergeCell ref="C132:D132"/>
    <mergeCell ref="C133:D133"/>
    <mergeCell ref="C138:D138"/>
    <mergeCell ref="C139:D139"/>
    <mergeCell ref="C137:D137"/>
    <mergeCell ref="C145:D145"/>
    <mergeCell ref="C8:D8"/>
    <mergeCell ref="C3:D3"/>
    <mergeCell ref="C4:D4"/>
    <mergeCell ref="C6:D6"/>
    <mergeCell ref="C7:D7"/>
    <mergeCell ref="H76:H79"/>
    <mergeCell ref="H74:H75"/>
    <mergeCell ref="B74:B75"/>
    <mergeCell ref="E74:E75"/>
    <mergeCell ref="F74:G74"/>
    <mergeCell ref="C74:D75"/>
    <mergeCell ref="C79:D79"/>
    <mergeCell ref="H65:H66"/>
    <mergeCell ref="H67:H70"/>
    <mergeCell ref="E65:E66"/>
    <mergeCell ref="C69:D69"/>
    <mergeCell ref="C70:D70"/>
    <mergeCell ref="C67:D67"/>
    <mergeCell ref="C68:D68"/>
    <mergeCell ref="F65:G65"/>
    <mergeCell ref="C65:D66"/>
    <mergeCell ref="E86:E87"/>
    <mergeCell ref="C205:D205"/>
    <mergeCell ref="B205:B206"/>
    <mergeCell ref="E100:E101"/>
    <mergeCell ref="E93:E94"/>
    <mergeCell ref="C200:D200"/>
    <mergeCell ref="C178:D178"/>
    <mergeCell ref="C179:D179"/>
    <mergeCell ref="C164:D164"/>
    <mergeCell ref="C165:D165"/>
  </mergeCells>
  <conditionalFormatting sqref="C30:C43 C11:C21 C24:C27 C46:C56 C184 C187 C190 C193 C196 C201">
    <cfRule type="expression" priority="1" dxfId="0" stopIfTrue="1">
      <formula>C11=E11</formula>
    </cfRule>
  </conditionalFormatting>
  <conditionalFormatting sqref="G68:G70 G77:G79 G89 G96">
    <cfRule type="cellIs" priority="2" dxfId="0" operator="equal" stopIfTrue="1">
      <formula>G67+1</formula>
    </cfRule>
  </conditionalFormatting>
  <conditionalFormatting sqref="G76">
    <cfRule type="cellIs" priority="3" dxfId="0" operator="equal" stopIfTrue="1">
      <formula>G67</formula>
    </cfRule>
  </conditionalFormatting>
  <conditionalFormatting sqref="D22:D23 D28:D29">
    <cfRule type="expression" priority="4" dxfId="0" stopIfTrue="1">
      <formula>D22=E22</formula>
    </cfRule>
  </conditionalFormatting>
  <conditionalFormatting sqref="G88">
    <cfRule type="cellIs" priority="5" dxfId="0" operator="equal" stopIfTrue="1">
      <formula>G69</formula>
    </cfRule>
  </conditionalFormatting>
  <conditionalFormatting sqref="D109:D110 D116:D117 D123:D124 D207:D209">
    <cfRule type="cellIs" priority="6" dxfId="0" operator="equal" stopIfTrue="1">
      <formula>D102+1</formula>
    </cfRule>
  </conditionalFormatting>
  <conditionalFormatting sqref="G67">
    <cfRule type="cellIs" priority="7" dxfId="0" operator="equal" stopIfTrue="1">
      <formula>10</formula>
    </cfRule>
  </conditionalFormatting>
  <conditionalFormatting sqref="D103">
    <cfRule type="cellIs" priority="8" dxfId="0" operator="equal" stopIfTrue="1">
      <formula>$G$96+1</formula>
    </cfRule>
  </conditionalFormatting>
  <conditionalFormatting sqref="D102">
    <cfRule type="cellIs" priority="9" dxfId="0" operator="equal" stopIfTrue="1">
      <formula>$G$89+1</formula>
    </cfRule>
  </conditionalFormatting>
  <conditionalFormatting sqref="G95">
    <cfRule type="cellIs" priority="10" dxfId="0" operator="equal" stopIfTrue="1">
      <formula>$G$78</formula>
    </cfRule>
  </conditionalFormatting>
  <dataValidations count="14">
    <dataValidation type="textLength" allowBlank="1" showInputMessage="1" showErrorMessage="1" errorTitle="Invalid length" error="Must be between 3 and 12 characters long." sqref="C184 C11 C187 C190 C193 C196">
      <formula1>3</formula1>
      <formula2>12</formula2>
    </dataValidation>
    <dataValidation type="custom" allowBlank="1" showInputMessage="1" showErrorMessage="1" errorTitle="Invalid Value" error="The value for this IP address is not within the&#10;same range as the Broker IP address for the &#10;given Subnet Mask." sqref="G67:G70">
      <formula1>AND(G67&gt;$F$22,G67&lt;$G$22)</formula1>
    </dataValidation>
    <dataValidation type="custom" allowBlank="1" showInputMessage="1" showErrorMessage="1" errorTitle="Invalid Value" error="The value for this IP address is not within the&#10;same range as the Broker IP address for the &#10;given Subnet Mask." sqref="G88:G89 D116 D109 D102">
      <formula1>AND(G88&gt;$F$28,G88&lt;$G$28)</formula1>
    </dataValidation>
    <dataValidation type="custom" allowBlank="1" showInputMessage="1" showErrorMessage="1" errorTitle="Invalid Value" error="The value for this IP address is not within the&#10;same range as the Broker IP address for the &#10;given Subnet Mask." sqref="G76:G79">
      <formula1>AND(G76&gt;$F$23,G76&lt;$G$23)</formula1>
    </dataValidation>
    <dataValidation type="custom" allowBlank="1" showInputMessage="1" showErrorMessage="1" errorTitle="Invalid Value" error="The value for this IP address is not within the&#10;same range as the Broker IP address for the &#10;given Subnet Mask." sqref="G95:G96 D117 D110 D103">
      <formula1>AND(G95&gt;$F$29,G95&lt;$G$29)</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51">
      <formula1>"small, medium4G, medium, demo, router, localLnp, localLnpRN"</formula1>
    </dataValidation>
    <dataValidation type="list" showInputMessage="1" showErrorMessage="1" errorTitle="Allowed values are y or n" error="Allowed values are &quot;y&quot; or &quot;n&quot; only." sqref="C46:C47 C49:C50 C201">
      <formula1>"y,n"</formula1>
    </dataValidation>
    <dataValidation type="list" allowBlank="1" showInputMessage="1" showErrorMessage="1" sqref="C52:D52">
      <formula1>"1, 2, 3, 4, 5"</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8">
      <formula1>"CABLE, T1"</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58 F156:F157 F159 F164:F167 F132:F133 F178:F179 F173" unlockedFormula="1"/>
  </ignoredErrors>
  <legacyDrawing r:id="rId2"/>
</worksheet>
</file>

<file path=xl/worksheets/sheet3.xml><?xml version="1.0" encoding="utf-8"?>
<worksheet xmlns="http://schemas.openxmlformats.org/spreadsheetml/2006/main" xmlns:r="http://schemas.openxmlformats.org/officeDocument/2006/relationships">
  <dimension ref="A1:C117"/>
  <sheetViews>
    <sheetView showGridLines="0" zoomScale="130" zoomScaleNormal="130" workbookViewId="0" topLeftCell="A1">
      <selection activeCell="E96" sqref="E96"/>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361</v>
      </c>
      <c r="C1" s="68"/>
    </row>
    <row r="2" spans="2:3" s="70" customFormat="1" ht="12.75">
      <c r="B2" s="37"/>
      <c r="C2" s="71"/>
    </row>
    <row r="3" spans="2:3" s="73" customFormat="1" ht="15">
      <c r="B3" s="72" t="s">
        <v>362</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251</v>
      </c>
      <c r="C7" s="67" t="s">
        <v>256</v>
      </c>
    </row>
    <row r="8" spans="2:3" ht="12.75">
      <c r="B8" s="188" t="str">
        <f>CONCATENATE('NIDS Data Entry + Netwk tables'!C32,".",'NIDS Data Entry + Netwk tables'!C30)</f>
        <v>priems.name.cisco.com</v>
      </c>
      <c r="C8" s="79" t="str">
        <f>CONCATENATE('NIDS Data Entry + Netwk tables'!$F$67,'NIDS Data Entry + Netwk tables'!$G$67)</f>
        <v>10.89.223.10</v>
      </c>
    </row>
    <row r="9" spans="2:3" ht="12.75">
      <c r="B9" s="189"/>
      <c r="C9" s="79" t="str">
        <f>CONCATENATE('NIDS Data Entry + Netwk tables'!$F$76,'NIDS Data Entry + Netwk tables'!$G$76)</f>
        <v>10.89.224.10</v>
      </c>
    </row>
    <row r="10" spans="2:3" ht="12.75">
      <c r="B10" s="188" t="str">
        <f>CONCATENATE('NIDS Data Entry + Netwk tables'!C34,".",'NIDS Data Entry + Netwk tables'!C30)</f>
        <v>secems.name.cisco.com</v>
      </c>
      <c r="C10" s="79" t="str">
        <f>CONCATENATE('NIDS Data Entry + Netwk tables'!$F$68,'NIDS Data Entry + Netwk tables'!$G$68)</f>
        <v>10.89.223.11</v>
      </c>
    </row>
    <row r="11" spans="2:3" ht="12.75">
      <c r="B11" s="189"/>
      <c r="C11" s="79" t="str">
        <f>CONCATENATE('NIDS Data Entry + Netwk tables'!$F$77,'NIDS Data Entry + Netwk tables'!$G$77)</f>
        <v>10.89.224.11</v>
      </c>
    </row>
    <row r="12" spans="2:3" ht="12.75">
      <c r="B12" s="188" t="str">
        <f>CONCATENATE('NIDS Data Entry + Netwk tables'!C31,".",'NIDS Data Entry + Netwk tables'!C30)</f>
        <v>prica.name.cisco.com</v>
      </c>
      <c r="C12" s="79" t="str">
        <f>CONCATENATE('NIDS Data Entry + Netwk tables'!$F$69,'NIDS Data Entry + Netwk tables'!$G$69)</f>
        <v>10.89.223.12</v>
      </c>
    </row>
    <row r="13" spans="2:3" ht="12.75">
      <c r="B13" s="189"/>
      <c r="C13" s="79" t="str">
        <f>CONCATENATE('NIDS Data Entry + Netwk tables'!$F$78,'NIDS Data Entry + Netwk tables'!$G$78)</f>
        <v>10.89.224.12</v>
      </c>
    </row>
    <row r="14" spans="2:3" ht="12.75">
      <c r="B14" s="188" t="str">
        <f>CONCATENATE('NIDS Data Entry + Netwk tables'!C33,".",'NIDS Data Entry + Netwk tables'!C30)</f>
        <v>secca.name.cisco.com</v>
      </c>
      <c r="C14" s="79" t="str">
        <f>CONCATENATE('NIDS Data Entry + Netwk tables'!$F$70,'NIDS Data Entry + Netwk tables'!$G$70)</f>
        <v>10.89.223.13</v>
      </c>
    </row>
    <row r="15" spans="2:3" ht="12.75">
      <c r="B15" s="189"/>
      <c r="C15" s="79" t="str">
        <f>CONCATENATE('NIDS Data Entry + Netwk tables'!$F$79,'NIDS Data Entry + Netwk tables'!$G$79)</f>
        <v>10.89.224.13</v>
      </c>
    </row>
    <row r="16" spans="1:3" ht="12.75">
      <c r="A16" s="37"/>
      <c r="B16" s="188" t="str">
        <f>'NIDS Opticall table'!$C$16</f>
        <v>broker-MAIN_ST.name.cisco.com</v>
      </c>
      <c r="C16" s="79" t="str">
        <f>'NIDS Data Entry + Netwk tables'!$H$88</f>
        <v>10.89.225.254</v>
      </c>
    </row>
    <row r="17" spans="1:3" ht="12.75">
      <c r="A17" s="37"/>
      <c r="B17" s="189"/>
      <c r="C17" s="79" t="str">
        <f>'NIDS Data Entry + Netwk tables'!$H$95</f>
        <v>10.89.226.254</v>
      </c>
    </row>
    <row r="18" spans="1:3" ht="12.75">
      <c r="A18" s="37"/>
      <c r="B18" s="188" t="str">
        <f>'NIDS Opticall table'!$C$15</f>
        <v>brokerems-MAIN_ST.name.cisco.com</v>
      </c>
      <c r="C18" s="79" t="str">
        <f>'NIDS Data Entry + Netwk tables'!$H$67</f>
        <v>10.89.223.254</v>
      </c>
    </row>
    <row r="19" spans="1:3" ht="12.75">
      <c r="A19" s="37"/>
      <c r="B19" s="189"/>
      <c r="C19" s="79" t="str">
        <f>'NIDS Data Entry + Netwk tables'!$H$76</f>
        <v>10.89.224.254</v>
      </c>
    </row>
    <row r="20" spans="2:3" ht="12.75">
      <c r="B20" s="190" t="str">
        <f>'NIDS Opticall table'!$C$32</f>
        <v>red-aMAIN_STCA.name.cisco.com</v>
      </c>
      <c r="C20" s="79" t="str">
        <f>'NIDS Data Entry + Netwk tables'!$F$144</f>
        <v>10.10.120.12</v>
      </c>
    </row>
    <row r="21" spans="2:3" ht="12.75">
      <c r="B21" s="189"/>
      <c r="C21" s="79" t="str">
        <f>'NIDS Data Entry + Netwk tables'!$F$150</f>
        <v>10.10.121.12</v>
      </c>
    </row>
    <row r="22" spans="2:3" ht="12.75">
      <c r="B22" s="190" t="str">
        <f>'NIDS Opticall table'!$C$33</f>
        <v>red-bMAIN_STCA.name.cisco.com</v>
      </c>
      <c r="C22" s="79" t="str">
        <f>'NIDS Data Entry + Netwk tables'!$F$145</f>
        <v>10.10.120.13</v>
      </c>
    </row>
    <row r="23" spans="2:3" ht="12.75">
      <c r="B23" s="189"/>
      <c r="C23" s="79" t="str">
        <f>'NIDS Data Entry + Netwk tables'!$F$151</f>
        <v>10.10.121.13</v>
      </c>
    </row>
    <row r="24" spans="2:3" ht="12.75">
      <c r="B24" s="190" t="str">
        <f>'NIDS Opticall table'!$C$34</f>
        <v>red-aMAIN_STAIN.name.cisco.com</v>
      </c>
      <c r="C24" s="79" t="str">
        <f>'NIDS Data Entry + Netwk tables'!$F$144</f>
        <v>10.10.120.12</v>
      </c>
    </row>
    <row r="25" spans="2:3" ht="12.75">
      <c r="B25" s="189"/>
      <c r="C25" s="79" t="str">
        <f>'NIDS Data Entry + Netwk tables'!$F$150</f>
        <v>10.10.121.12</v>
      </c>
    </row>
    <row r="26" spans="2:3" ht="12.75">
      <c r="B26" s="190" t="str">
        <f>'NIDS Opticall table'!$C$35</f>
        <v>red-bMAIN_STAIN.name.cisco.com</v>
      </c>
      <c r="C26" s="79" t="str">
        <f>'NIDS Data Entry + Netwk tables'!$F$145</f>
        <v>10.10.120.13</v>
      </c>
    </row>
    <row r="27" spans="2:3" ht="12.75">
      <c r="B27" s="189"/>
      <c r="C27" s="79" t="str">
        <f>'NIDS Data Entry + Netwk tables'!$F$151</f>
        <v>10.10.121.13</v>
      </c>
    </row>
    <row r="28" spans="2:3" ht="12.75">
      <c r="B28" s="190" t="str">
        <f>'NIDS Opticall table'!$C$36</f>
        <v>red-aMAIN_STPTC.name.cisco.com</v>
      </c>
      <c r="C28" s="79" t="str">
        <f>'NIDS Data Entry + Netwk tables'!$F$144</f>
        <v>10.10.120.12</v>
      </c>
    </row>
    <row r="29" spans="2:3" ht="12.75">
      <c r="B29" s="189"/>
      <c r="C29" s="79" t="str">
        <f>'NIDS Data Entry + Netwk tables'!$F$150</f>
        <v>10.10.121.12</v>
      </c>
    </row>
    <row r="30" spans="2:3" ht="12.75">
      <c r="B30" s="190" t="str">
        <f>'NIDS Opticall table'!$C$37</f>
        <v>red-bMAIN_STPTC.name.cisco.com</v>
      </c>
      <c r="C30" s="79" t="str">
        <f>'NIDS Data Entry + Netwk tables'!$F$145</f>
        <v>10.10.120.13</v>
      </c>
    </row>
    <row r="31" spans="2:3" ht="12.75">
      <c r="B31" s="189"/>
      <c r="C31" s="79" t="str">
        <f>'NIDS Data Entry + Netwk tables'!$F$151</f>
        <v>10.10.121.13</v>
      </c>
    </row>
    <row r="32" spans="2:3" ht="12.75">
      <c r="B32" s="190" t="str">
        <f>'NIDS Opticall table'!$C$38</f>
        <v>red-aMAIN_STEMS.name.cisco.com</v>
      </c>
      <c r="C32" s="79" t="str">
        <f>'NIDS Data Entry + Netwk tables'!$F$156</f>
        <v>10.10.122.10</v>
      </c>
    </row>
    <row r="33" spans="2:3" ht="12.75">
      <c r="B33" s="189"/>
      <c r="C33" s="79" t="str">
        <f>'NIDS Data Entry + Netwk tables'!$F$164</f>
        <v>10.10.123.10</v>
      </c>
    </row>
    <row r="34" spans="2:3" ht="12.75">
      <c r="B34" s="190" t="str">
        <f>'NIDS Opticall table'!$C$39</f>
        <v>red-bMAIN_STEMS.name.cisco.com</v>
      </c>
      <c r="C34" s="79" t="str">
        <f>'NIDS Data Entry + Netwk tables'!$F$157</f>
        <v>10.10.122.11</v>
      </c>
    </row>
    <row r="35" spans="2:3" ht="12.75">
      <c r="B35" s="189"/>
      <c r="C35" s="79" t="str">
        <f>'NIDS Data Entry + Netwk tables'!$F$165</f>
        <v>10.10.123.11</v>
      </c>
    </row>
    <row r="36" spans="2:3" ht="12.75">
      <c r="B36" s="190" t="str">
        <f>'NIDS Opticall table'!$C$40</f>
        <v>blg-aMAIN_STEMS.name.cisco.com</v>
      </c>
      <c r="C36" s="79" t="str">
        <f>'NIDS Data Entry + Netwk tables'!$F$156</f>
        <v>10.10.122.10</v>
      </c>
    </row>
    <row r="37" spans="2:3" ht="12.75">
      <c r="B37" s="189"/>
      <c r="C37" s="79" t="str">
        <f>'NIDS Data Entry + Netwk tables'!$F$164</f>
        <v>10.10.123.10</v>
      </c>
    </row>
    <row r="38" spans="2:3" ht="12.75">
      <c r="B38" s="190" t="str">
        <f>'NIDS Opticall table'!$C$41</f>
        <v>blg-bMAIN_STEMS.name.cisco.com</v>
      </c>
      <c r="C38" s="79" t="str">
        <f>'NIDS Data Entry + Netwk tables'!$F$157</f>
        <v>10.10.122.11</v>
      </c>
    </row>
    <row r="39" spans="2:3" ht="12.75">
      <c r="B39" s="189"/>
      <c r="C39" s="79" t="str">
        <f>'NIDS Data Entry + Netwk tables'!$F$165</f>
        <v>10.10.123.11</v>
      </c>
    </row>
    <row r="40" spans="2:3" ht="12.75">
      <c r="B40" s="190" t="str">
        <f>'NIDS Opticall table'!$C$42</f>
        <v>blg-aMAIN_STCA.name.cisco.com</v>
      </c>
      <c r="C40" s="79" t="str">
        <f>'NIDS Data Entry + Netwk tables'!$F$158</f>
        <v>10.10.122.12</v>
      </c>
    </row>
    <row r="41" spans="2:3" ht="12.75">
      <c r="B41" s="189"/>
      <c r="C41" s="79" t="str">
        <f>'NIDS Data Entry + Netwk tables'!$F$166</f>
        <v>10.10.123.12</v>
      </c>
    </row>
    <row r="42" spans="2:3" ht="12.75">
      <c r="B42" s="190" t="str">
        <f>'NIDS Opticall table'!$C$43</f>
        <v>blg-bMAIN_STCA.name.cisco.com</v>
      </c>
      <c r="C42" s="79" t="str">
        <f>'NIDS Data Entry + Netwk tables'!$F$159</f>
        <v>10.10.122.13</v>
      </c>
    </row>
    <row r="43" spans="2:3" ht="12.75">
      <c r="B43" s="189"/>
      <c r="C43" s="79" t="str">
        <f>'NIDS Data Entry + Netwk tables'!$F$167</f>
        <v>10.10.123.13</v>
      </c>
    </row>
    <row r="44" spans="2:3" ht="12.75">
      <c r="B44" s="190" t="str">
        <f>'NIDS Opticall table'!$C$44</f>
        <v>sia-MAIN_STCA.name.cisco.com</v>
      </c>
      <c r="C44" s="79" t="str">
        <f>CONCATENATE('NIDS Data Entry + Netwk tables'!$F$88,'NIDS Data Entry + Netwk tables'!$G$88)</f>
        <v>10.89.225.12</v>
      </c>
    </row>
    <row r="45" spans="2:3" ht="12.75">
      <c r="B45" s="191"/>
      <c r="C45" s="79" t="str">
        <f>CONCATENATE('NIDS Data Entry + Netwk tables'!$F$95,'NIDS Data Entry + Netwk tables'!$G$95)</f>
        <v>10.89.226.12</v>
      </c>
    </row>
    <row r="46" spans="2:3" ht="12.75">
      <c r="B46" s="191"/>
      <c r="C46" s="79" t="str">
        <f>CONCATENATE('NIDS Data Entry + Netwk tables'!$F$89,'NIDS Data Entry + Netwk tables'!$G$89)</f>
        <v>10.89.225.13</v>
      </c>
    </row>
    <row r="47" spans="2:3" ht="12.75">
      <c r="B47" s="189"/>
      <c r="C47" s="79" t="str">
        <f>CONCATENATE('NIDS Data Entry + Netwk tables'!$F$96,'NIDS Data Entry + Netwk tables'!$G$96)</f>
        <v>10.89.226.13</v>
      </c>
    </row>
    <row r="48" spans="2:3" ht="12.75">
      <c r="B48" s="190" t="str">
        <f>'NIDS Opticall table'!$C$45</f>
        <v>mgcp-MAIN_STCA146.name.cisco.com</v>
      </c>
      <c r="C48" s="79" t="str">
        <f>CONCATENATE('NIDS Data Entry + Netwk tables'!$C$102,'NIDS Data Entry + Netwk tables'!$D$102)</f>
        <v>10.89.225.14</v>
      </c>
    </row>
    <row r="49" spans="2:3" ht="12.75">
      <c r="B49" s="189"/>
      <c r="C49" s="79" t="str">
        <f>CONCATENATE('NIDS Data Entry + Netwk tables'!$C$103,'NIDS Data Entry + Netwk tables'!$D$103)</f>
        <v>10.89.226.14</v>
      </c>
    </row>
    <row r="50" spans="2:3" ht="12.75">
      <c r="B50" s="190" t="str">
        <f>'NIDS Opticall table'!$C$46</f>
        <v>crit-aMAIN_STCA.name.cisco.com</v>
      </c>
      <c r="C50" s="79" t="str">
        <f>CONCATENATE('NIDS Data Entry + Netwk tables'!$F$88,'NIDS Data Entry + Netwk tables'!$G$88)</f>
        <v>10.89.225.12</v>
      </c>
    </row>
    <row r="51" spans="2:3" ht="12.75">
      <c r="B51" s="189"/>
      <c r="C51" s="79" t="str">
        <f>CONCATENATE('NIDS Data Entry + Netwk tables'!$F$95,'NIDS Data Entry + Netwk tables'!$G$95)</f>
        <v>10.89.226.12</v>
      </c>
    </row>
    <row r="52" spans="2:3" ht="12.75">
      <c r="B52" s="190" t="str">
        <f>'NIDS Opticall table'!$C$47</f>
        <v>crit-bMAIN_STCA.name.cisco.com</v>
      </c>
      <c r="C52" s="79" t="str">
        <f>CONCATENATE('NIDS Data Entry + Netwk tables'!$F$89,'NIDS Data Entry + Netwk tables'!$G$89)</f>
        <v>10.89.225.13</v>
      </c>
    </row>
    <row r="53" spans="2:3" ht="12.75">
      <c r="B53" s="189"/>
      <c r="C53" s="79" t="str">
        <f>CONCATENATE('NIDS Data Entry + Netwk tables'!$F$96,'NIDS Data Entry + Netwk tables'!$G$96)</f>
        <v>10.89.226.13</v>
      </c>
    </row>
    <row r="54" spans="2:3" ht="12.75">
      <c r="B54" s="190" t="str">
        <f>'NIDS Opticall table'!$C$48</f>
        <v>sia-MAIN_STCA.name.cisco.com</v>
      </c>
      <c r="C54" s="79" t="str">
        <f>CONCATENATE('NIDS Data Entry + Netwk tables'!$F$88,'NIDS Data Entry + Netwk tables'!$G$88)</f>
        <v>10.89.225.12</v>
      </c>
    </row>
    <row r="55" spans="2:3" ht="12.75">
      <c r="B55" s="191"/>
      <c r="C55" s="79" t="str">
        <f>CONCATENATE('NIDS Data Entry + Netwk tables'!$F$95,'NIDS Data Entry + Netwk tables'!$G$95)</f>
        <v>10.89.226.12</v>
      </c>
    </row>
    <row r="56" spans="2:3" ht="12.75">
      <c r="B56" s="191"/>
      <c r="C56" s="79" t="str">
        <f>CONCATENATE('NIDS Data Entry + Netwk tables'!$F$89,'NIDS Data Entry + Netwk tables'!$G$89)</f>
        <v>10.89.225.13</v>
      </c>
    </row>
    <row r="57" spans="2:3" ht="12.75">
      <c r="B57" s="189"/>
      <c r="C57" s="79" t="str">
        <f>CONCATENATE('NIDS Data Entry + Netwk tables'!$F$96,'NIDS Data Entry + Netwk tables'!$G$96)</f>
        <v>10.89.226.13</v>
      </c>
    </row>
    <row r="58" spans="2:3" ht="12.75">
      <c r="B58" s="190" t="str">
        <f>'NIDS Opticall table'!$C$49</f>
        <v>sia-MAIN_STCA146.name.cisco.com</v>
      </c>
      <c r="C58" s="79" t="str">
        <f>CONCATENATE('NIDS Data Entry + Netwk tables'!$C$116,'NIDS Data Entry + Netwk tables'!$D$116)</f>
        <v>10.89.225.16</v>
      </c>
    </row>
    <row r="59" spans="2:3" ht="12.75">
      <c r="B59" s="189"/>
      <c r="C59" s="79" t="str">
        <f>CONCATENATE('NIDS Data Entry + Netwk tables'!$C$117,'NIDS Data Entry + Netwk tables'!$D$117)</f>
        <v>10.89.226.16</v>
      </c>
    </row>
    <row r="60" spans="2:3" ht="12.75">
      <c r="B60" s="190" t="str">
        <f>'NIDS Opticall table'!$C$50</f>
        <v>h3a-MAIN_STCA146.name.cisco.com</v>
      </c>
      <c r="C60" s="79" t="str">
        <f>CONCATENATE('NIDS Data Entry + Netwk tables'!$C$123,'NIDS Data Entry + Netwk tables'!$D$123)</f>
        <v>10.89.225.17</v>
      </c>
    </row>
    <row r="61" spans="2:3" ht="12.75">
      <c r="B61" s="189"/>
      <c r="C61" s="79" t="str">
        <f>CONCATENATE('NIDS Data Entry + Netwk tables'!$C$124,'NIDS Data Entry + Netwk tables'!$D$124)</f>
        <v>10.89.226.17</v>
      </c>
    </row>
    <row r="62" spans="2:3" ht="12.75">
      <c r="B62" s="190" t="str">
        <f>'NIDS Opticall table'!$C$51</f>
        <v>sim-MAIN_STCA146.name.cisco.com</v>
      </c>
      <c r="C62" s="79" t="str">
        <f>CONCATENATE('NIDS Data Entry + Netwk tables'!$C$35,".124.",'NIDS Data Entry + Netwk tables'!$D$207,"")</f>
        <v>10.10.124.146</v>
      </c>
    </row>
    <row r="63" spans="2:3" ht="12.75">
      <c r="B63" s="191"/>
      <c r="C63" s="79" t="str">
        <f>CONCATENATE('NIDS Data Entry + Netwk tables'!$C$35,".125.",'NIDS Data Entry + Netwk tables'!$D$207,"")</f>
        <v>10.10.125.146</v>
      </c>
    </row>
    <row r="64" spans="2:3" ht="12.75">
      <c r="B64" s="190" t="str">
        <f>'NIDS Opticall table'!$C$52</f>
        <v>anm-aMAIN_STCA.name.cisco.com</v>
      </c>
      <c r="C64" s="79" t="str">
        <f>CONCATENATE('NIDS Data Entry + Netwk tables'!$F$88,'NIDS Data Entry + Netwk tables'!$G$88)</f>
        <v>10.89.225.12</v>
      </c>
    </row>
    <row r="65" spans="2:3" ht="12.75">
      <c r="B65" s="189"/>
      <c r="C65" s="79" t="str">
        <f>CONCATENATE('NIDS Data Entry + Netwk tables'!$F$95,'NIDS Data Entry + Netwk tables'!$G$95)</f>
        <v>10.89.226.12</v>
      </c>
    </row>
    <row r="66" spans="2:3" ht="12.75">
      <c r="B66" s="190" t="str">
        <f>'NIDS Opticall table'!$C$53</f>
        <v>anm-bMAIN_STCA.name.cisco.com</v>
      </c>
      <c r="C66" s="79" t="str">
        <f>CONCATENATE('NIDS Data Entry + Netwk tables'!$F$89,'NIDS Data Entry + Netwk tables'!$G$89)</f>
        <v>10.89.225.13</v>
      </c>
    </row>
    <row r="67" spans="2:3" ht="12.75">
      <c r="B67" s="189"/>
      <c r="C67" s="79" t="str">
        <f>CONCATENATE('NIDS Data Entry + Netwk tables'!$F$96,'NIDS Data Entry + Netwk tables'!$G$96)</f>
        <v>10.89.226.13</v>
      </c>
    </row>
    <row r="68" spans="2:3" ht="12.75">
      <c r="B68" s="190" t="str">
        <f>'NIDS Opticall table'!$C$54</f>
        <v>sga-aMAIN_STCA.name.cisco.com</v>
      </c>
      <c r="C68" s="79" t="str">
        <f>CONCATENATE('NIDS Data Entry + Netwk tables'!$F$88,'NIDS Data Entry + Netwk tables'!$G$88)</f>
        <v>10.89.225.12</v>
      </c>
    </row>
    <row r="69" spans="2:3" ht="12.75">
      <c r="B69" s="189"/>
      <c r="C69" s="79" t="str">
        <f>CONCATENATE('NIDS Data Entry + Netwk tables'!$F$95,'NIDS Data Entry + Netwk tables'!$G$95)</f>
        <v>10.89.226.12</v>
      </c>
    </row>
    <row r="70" spans="2:3" ht="12.75">
      <c r="B70" s="190" t="str">
        <f>'NIDS Opticall table'!$C$55</f>
        <v>sga-bMAIN_STCA.name.cisco.com</v>
      </c>
      <c r="C70" s="79" t="str">
        <f>CONCATENATE('NIDS Data Entry + Netwk tables'!$F$89,'NIDS Data Entry + Netwk tables'!$G$89)</f>
        <v>10.89.225.13</v>
      </c>
    </row>
    <row r="71" spans="2:3" ht="12.75">
      <c r="B71" s="189"/>
      <c r="C71" s="79" t="str">
        <f>CONCATENATE('NIDS Data Entry + Netwk tables'!$F$96,'NIDS Data Entry + Netwk tables'!$G$96)</f>
        <v>10.89.226.13</v>
      </c>
    </row>
    <row r="72" spans="2:3" ht="12.75">
      <c r="B72" s="80" t="str">
        <f>'NIDS Opticall table'!$C$56</f>
        <v>bsm-a1MAIN_STCA.name.cisco.com</v>
      </c>
      <c r="C72" s="79" t="str">
        <f>CONCATENATE('NIDS Data Entry + Netwk tables'!$F$88,'NIDS Data Entry + Netwk tables'!$G$88)</f>
        <v>10.89.225.12</v>
      </c>
    </row>
    <row r="73" spans="2:3" ht="12.75">
      <c r="B73" s="80" t="str">
        <f>'NIDS Opticall table'!$C$57</f>
        <v>bsm-a2MAIN_STCA.name.cisco.com</v>
      </c>
      <c r="C73" s="79" t="str">
        <f>CONCATENATE('NIDS Data Entry + Netwk tables'!$F$95,'NIDS Data Entry + Netwk tables'!$G$95)</f>
        <v>10.89.226.12</v>
      </c>
    </row>
    <row r="74" spans="2:3" ht="12.75">
      <c r="B74" s="80" t="str">
        <f>'NIDS Opticall table'!$C$58</f>
        <v>bsm-b1MAIN_STCA.name.cisco.com</v>
      </c>
      <c r="C74" s="79" t="str">
        <f>CONCATENATE('NIDS Data Entry + Netwk tables'!$F$89,'NIDS Data Entry + Netwk tables'!$G$89)</f>
        <v>10.89.225.13</v>
      </c>
    </row>
    <row r="75" spans="2:3" ht="12.75">
      <c r="B75" s="80" t="str">
        <f>'NIDS Opticall table'!$C$59</f>
        <v>bsm-b2MAIN_STCA.name.cisco.com</v>
      </c>
      <c r="C75" s="79" t="str">
        <f>CONCATENATE('NIDS Data Entry + Netwk tables'!$F$96,'NIDS Data Entry + Netwk tables'!$G$96)</f>
        <v>10.89.226.13</v>
      </c>
    </row>
    <row r="76" spans="2:3" ht="12.75">
      <c r="B76" s="190" t="str">
        <f>'NIDS Opticall table'!$C$60</f>
        <v>asm-MAIN_STAIN205.name.cisco.com</v>
      </c>
      <c r="C76" s="79" t="str">
        <f>CONCATENATE('NIDS Data Entry + Netwk tables'!$C$35,".124.",'NIDS Data Entry + Netwk tables'!$D$208,"")</f>
        <v>10.10.124.205</v>
      </c>
    </row>
    <row r="77" spans="2:3" ht="12.75">
      <c r="B77" s="191"/>
      <c r="C77" s="79" t="str">
        <f>CONCATENATE('NIDS Data Entry + Netwk tables'!$C$35,".125.",'NIDS Data Entry + Netwk tables'!$D$208,"")</f>
        <v>10.10.125.205</v>
      </c>
    </row>
    <row r="78" spans="2:3" ht="12.75">
      <c r="B78" s="190" t="str">
        <f>'NIDS Opticall table'!$C$61</f>
        <v>crit-aMAIN_STAIN.name.cisco.com</v>
      </c>
      <c r="C78" s="79" t="str">
        <f>CONCATENATE('NIDS Data Entry + Netwk tables'!$F$88,'NIDS Data Entry + Netwk tables'!$G$88)</f>
        <v>10.89.225.12</v>
      </c>
    </row>
    <row r="79" spans="2:3" ht="12.75">
      <c r="B79" s="189"/>
      <c r="C79" s="79" t="str">
        <f>CONCATENATE('NIDS Data Entry + Netwk tables'!$F$95,'NIDS Data Entry + Netwk tables'!$G$95)</f>
        <v>10.89.226.12</v>
      </c>
    </row>
    <row r="80" spans="2:3" ht="12.75">
      <c r="B80" s="190" t="str">
        <f>'NIDS Opticall table'!$C$62</f>
        <v>crit-bMAIN_STAIN.name.cisco.com</v>
      </c>
      <c r="C80" s="79" t="str">
        <f>CONCATENATE('NIDS Data Entry + Netwk tables'!$F$89,'NIDS Data Entry + Netwk tables'!$G$89)</f>
        <v>10.89.225.13</v>
      </c>
    </row>
    <row r="81" spans="2:3" ht="12.75">
      <c r="B81" s="189"/>
      <c r="C81" s="79" t="str">
        <f>CONCATENATE('NIDS Data Entry + Netwk tables'!$F$96,'NIDS Data Entry + Netwk tables'!$G$96)</f>
        <v>10.89.226.13</v>
      </c>
    </row>
    <row r="82" spans="2:3" ht="12.75">
      <c r="B82" s="190" t="str">
        <f>'NIDS Opticall table'!$C$63</f>
        <v>sgw-aMAIN_STAIN.name.cisco.com</v>
      </c>
      <c r="C82" s="79" t="str">
        <f>CONCATENATE('NIDS Data Entry + Netwk tables'!$F$88,'NIDS Data Entry + Netwk tables'!$G$88)</f>
        <v>10.89.225.12</v>
      </c>
    </row>
    <row r="83" spans="2:3" ht="12.75">
      <c r="B83" s="189"/>
      <c r="C83" s="79" t="str">
        <f>CONCATENATE('NIDS Data Entry + Netwk tables'!$F$95,'NIDS Data Entry + Netwk tables'!$G$95)</f>
        <v>10.89.226.12</v>
      </c>
    </row>
    <row r="84" spans="2:3" ht="12.75">
      <c r="B84" s="190" t="str">
        <f>'NIDS Opticall table'!$C$64</f>
        <v>sgw-bMAIN_STAIN.name.cisco.com</v>
      </c>
      <c r="C84" s="79" t="str">
        <f>CONCATENATE('NIDS Data Entry + Netwk tables'!$F$89,'NIDS Data Entry + Netwk tables'!$G$89)</f>
        <v>10.89.225.13</v>
      </c>
    </row>
    <row r="85" spans="2:3" ht="12.75">
      <c r="B85" s="189"/>
      <c r="C85" s="79" t="str">
        <f>CONCATENATE('NIDS Data Entry + Netwk tables'!$F$96,'NIDS Data Entry + Netwk tables'!$G$96)</f>
        <v>10.89.226.13</v>
      </c>
    </row>
    <row r="86" spans="2:3" ht="12.75">
      <c r="B86" s="190" t="str">
        <f>'NIDS Opticall table'!$C$65</f>
        <v>pots-MAIN_STPTC235.name.cisco.com</v>
      </c>
      <c r="C86" s="79" t="str">
        <f>CONCATENATE('NIDS Data Entry + Netwk tables'!$C$35,".124.",'NIDS Data Entry + Netwk tables'!$D$209,"")</f>
        <v>10.10.124.235</v>
      </c>
    </row>
    <row r="87" spans="2:3" ht="12.75">
      <c r="B87" s="191"/>
      <c r="C87" s="79" t="str">
        <f>CONCATENATE('NIDS Data Entry + Netwk tables'!$C$35,".125.",'NIDS Data Entry + Netwk tables'!$D$209,"")</f>
        <v>10.10.125.235</v>
      </c>
    </row>
    <row r="88" spans="2:3" ht="12.75">
      <c r="B88" s="190" t="str">
        <f>'NIDS Opticall table'!$C$66</f>
        <v>crit-aMAIN_STPTC.name.cisco.com</v>
      </c>
      <c r="C88" s="79" t="str">
        <f>CONCATENATE('NIDS Data Entry + Netwk tables'!$F$88,'NIDS Data Entry + Netwk tables'!$G$88)</f>
        <v>10.89.225.12</v>
      </c>
    </row>
    <row r="89" spans="2:3" ht="12.75">
      <c r="B89" s="189"/>
      <c r="C89" s="79" t="str">
        <f>CONCATENATE('NIDS Data Entry + Netwk tables'!$F$95,'NIDS Data Entry + Netwk tables'!$G$95)</f>
        <v>10.89.226.12</v>
      </c>
    </row>
    <row r="90" spans="2:3" ht="12.75">
      <c r="B90" s="190" t="str">
        <f>'NIDS Opticall table'!$C$67</f>
        <v>crit-bMAIN_STPTC.name.cisco.com</v>
      </c>
      <c r="C90" s="79" t="str">
        <f>CONCATENATE('NIDS Data Entry + Netwk tables'!$F$89,'NIDS Data Entry + Netwk tables'!$G$89)</f>
        <v>10.89.225.13</v>
      </c>
    </row>
    <row r="91" spans="2:3" ht="12.75">
      <c r="B91" s="189"/>
      <c r="C91" s="79" t="str">
        <f>CONCATENATE('NIDS Data Entry + Netwk tables'!$F$96,'NIDS Data Entry + Netwk tables'!$G$96)</f>
        <v>10.89.226.13</v>
      </c>
    </row>
    <row r="92" spans="2:3" ht="12.75">
      <c r="B92" s="190" t="str">
        <f>'NIDS Opticall table'!$C$68</f>
        <v>sgw-aMAIN_STPTC.name.cisco.com</v>
      </c>
      <c r="C92" s="79" t="str">
        <f>CONCATENATE('NIDS Data Entry + Netwk tables'!$F$88,'NIDS Data Entry + Netwk tables'!$G$88)</f>
        <v>10.89.225.12</v>
      </c>
    </row>
    <row r="93" spans="2:3" ht="12.75">
      <c r="B93" s="189"/>
      <c r="C93" s="79" t="str">
        <f>CONCATENATE('NIDS Data Entry + Netwk tables'!$F$95,'NIDS Data Entry + Netwk tables'!$G$95)</f>
        <v>10.89.226.12</v>
      </c>
    </row>
    <row r="94" spans="2:3" ht="12.75">
      <c r="B94" s="190" t="str">
        <f>'NIDS Opticall table'!$C$69</f>
        <v>sgw-bMAIN_STPTC.name.cisco.com</v>
      </c>
      <c r="C94" s="79" t="str">
        <f>CONCATENATE('NIDS Data Entry + Netwk tables'!$F$89,'NIDS Data Entry + Netwk tables'!$G$89)</f>
        <v>10.89.225.13</v>
      </c>
    </row>
    <row r="95" spans="2:3" ht="12.75">
      <c r="B95" s="189"/>
      <c r="C95" s="79" t="str">
        <f>CONCATENATE('NIDS Data Entry + Netwk tables'!$F$96,'NIDS Data Entry + Netwk tables'!$G$96)</f>
        <v>10.89.226.13</v>
      </c>
    </row>
    <row r="96" spans="2:3" ht="12.75">
      <c r="B96" s="190" t="str">
        <f>'NIDS Opticall table'!$C$70</f>
        <v>gfs-MAIN_STPTC235.name.cisco.com</v>
      </c>
      <c r="C96" s="79" t="str">
        <f>CONCATENATE('NIDS Data Entry + Netwk tables'!$C$109,'NIDS Data Entry + Netwk tables'!$D$109)</f>
        <v>10.89.225.15</v>
      </c>
    </row>
    <row r="97" spans="2:3" ht="12.75">
      <c r="B97" s="189"/>
      <c r="C97" s="79" t="str">
        <f>CONCATENATE('NIDS Data Entry + Netwk tables'!$C$110,'NIDS Data Entry + Netwk tables'!$D$110)</f>
        <v>10.89.226.15</v>
      </c>
    </row>
    <row r="98" spans="2:3" ht="12.75">
      <c r="B98" s="190" t="str">
        <f>'NIDS Opticall table'!$C$71</f>
        <v>crit-aMAIN_STEMS.name.cisco.com</v>
      </c>
      <c r="C98" s="79" t="str">
        <f>CONCATENATE('NIDS Data Entry + Netwk tables'!$F$67,'NIDS Data Entry + Netwk tables'!$G$67)</f>
        <v>10.89.223.10</v>
      </c>
    </row>
    <row r="99" spans="2:3" ht="12.75">
      <c r="B99" s="189"/>
      <c r="C99" s="79" t="str">
        <f>CONCATENATE('NIDS Data Entry + Netwk tables'!$F$76,'NIDS Data Entry + Netwk tables'!$G$76)</f>
        <v>10.89.224.10</v>
      </c>
    </row>
    <row r="100" spans="2:3" ht="12.75">
      <c r="B100" s="190" t="str">
        <f>'NIDS Opticall table'!$C$72</f>
        <v>crit-bMAIN_STEMS.name.cisco.com</v>
      </c>
      <c r="C100" s="79" t="str">
        <f>CONCATENATE('NIDS Data Entry + Netwk tables'!$F$68,'NIDS Data Entry + Netwk tables'!$G$68)</f>
        <v>10.89.223.11</v>
      </c>
    </row>
    <row r="101" spans="2:3" ht="12.75">
      <c r="B101" s="189"/>
      <c r="C101" s="79" t="str">
        <f>CONCATENATE('NIDS Data Entry + Netwk tables'!$F$77,'NIDS Data Entry + Netwk tables'!$G$77)</f>
        <v>10.89.224.11</v>
      </c>
    </row>
    <row r="102" spans="2:3" ht="12.75">
      <c r="B102" s="190" t="str">
        <f>'NIDS Opticall table'!$C$73</f>
        <v>oms-aMAIN_STCA.name.cisco.com</v>
      </c>
      <c r="C102" s="79" t="str">
        <f>'NIDS Data Entry + Netwk tables'!$F$158</f>
        <v>10.10.122.12</v>
      </c>
    </row>
    <row r="103" spans="2:3" ht="12.75">
      <c r="B103" s="189"/>
      <c r="C103" s="79" t="str">
        <f>'NIDS Data Entry + Netwk tables'!$F$166</f>
        <v>10.10.123.12</v>
      </c>
    </row>
    <row r="104" spans="2:3" ht="12.75">
      <c r="B104" s="190" t="str">
        <f>'NIDS Opticall table'!$C$74</f>
        <v>oms-bMAIN_STCA.name.cisco.com</v>
      </c>
      <c r="C104" s="79" t="str">
        <f>'NIDS Data Entry + Netwk tables'!$F$159</f>
        <v>10.10.122.13</v>
      </c>
    </row>
    <row r="105" spans="2:3" ht="12.75">
      <c r="B105" s="189"/>
      <c r="C105" s="79" t="str">
        <f>'NIDS Data Entry + Netwk tables'!$F$167</f>
        <v>10.10.123.13</v>
      </c>
    </row>
    <row r="106" spans="2:3" ht="12.75">
      <c r="B106" s="190" t="str">
        <f>'NIDS Opticall table'!$C$75</f>
        <v>oms-aMAIN_STAIN.name.cisco.com</v>
      </c>
      <c r="C106" s="79" t="str">
        <f>'NIDS Data Entry + Netwk tables'!$F$158</f>
        <v>10.10.122.12</v>
      </c>
    </row>
    <row r="107" spans="2:3" ht="12.75">
      <c r="B107" s="189"/>
      <c r="C107" s="79" t="str">
        <f>'NIDS Data Entry + Netwk tables'!$F$166</f>
        <v>10.10.123.12</v>
      </c>
    </row>
    <row r="108" spans="2:3" ht="12.75">
      <c r="B108" s="190" t="str">
        <f>'NIDS Opticall table'!$C$76</f>
        <v>oms-bMAIN_STAIN.name.cisco.com</v>
      </c>
      <c r="C108" s="79" t="str">
        <f>'NIDS Data Entry + Netwk tables'!$F$159</f>
        <v>10.10.122.13</v>
      </c>
    </row>
    <row r="109" spans="2:3" ht="12.75">
      <c r="B109" s="189"/>
      <c r="C109" s="79" t="str">
        <f>'NIDS Data Entry + Netwk tables'!$F$167</f>
        <v>10.10.123.13</v>
      </c>
    </row>
    <row r="110" spans="2:3" ht="12.75">
      <c r="B110" s="190" t="str">
        <f>'NIDS Opticall table'!$C$77</f>
        <v>oms-aMAIN_STPTC.name.cisco.com</v>
      </c>
      <c r="C110" s="79" t="str">
        <f>'NIDS Data Entry + Netwk tables'!$F$158</f>
        <v>10.10.122.12</v>
      </c>
    </row>
    <row r="111" spans="2:3" ht="12.75">
      <c r="B111" s="189"/>
      <c r="C111" s="79" t="str">
        <f>'NIDS Data Entry + Netwk tables'!$F$166</f>
        <v>10.10.123.12</v>
      </c>
    </row>
    <row r="112" spans="2:3" ht="12.75">
      <c r="B112" s="190" t="str">
        <f>'NIDS Opticall table'!$C$78</f>
        <v>oms-bMAIN_STPTC.name.cisco.com</v>
      </c>
      <c r="C112" s="79" t="str">
        <f>'NIDS Data Entry + Netwk tables'!$F$159</f>
        <v>10.10.122.13</v>
      </c>
    </row>
    <row r="113" spans="2:3" ht="12.75">
      <c r="B113" s="189"/>
      <c r="C113" s="79" t="str">
        <f>'NIDS Data Entry + Netwk tables'!$F$167</f>
        <v>10.10.123.13</v>
      </c>
    </row>
    <row r="114" spans="2:3" ht="12.75">
      <c r="B114" s="190" t="str">
        <f>'NIDS Opticall table'!$C$79</f>
        <v>oms-aMAIN_STEMS.name.cisco.com</v>
      </c>
      <c r="C114" s="79" t="str">
        <f>'NIDS Data Entry + Netwk tables'!$F$132</f>
        <v>10.10.122.10</v>
      </c>
    </row>
    <row r="115" spans="2:3" ht="12.75">
      <c r="B115" s="189"/>
      <c r="C115" s="79" t="str">
        <f>'NIDS Data Entry + Netwk tables'!$F$138</f>
        <v>10.10.123.10</v>
      </c>
    </row>
    <row r="116" spans="2:3" ht="12.75">
      <c r="B116" s="190" t="str">
        <f>'NIDS Opticall table'!$C$80</f>
        <v>oms-bMAIN_STEMS.name.cisco.com</v>
      </c>
      <c r="C116" s="79" t="str">
        <f>'NIDS Data Entry + Netwk tables'!$F$133</f>
        <v>10.10.122.11</v>
      </c>
    </row>
    <row r="117" spans="2:3" ht="12.75">
      <c r="B117" s="189"/>
      <c r="C117" s="79" t="str">
        <f>'NIDS Data Entry + Netwk tables'!$F$139</f>
        <v>10.10.123.11</v>
      </c>
    </row>
  </sheetData>
  <sheetProtection/>
  <mergeCells count="51">
    <mergeCell ref="B116:B117"/>
    <mergeCell ref="B44:B47"/>
    <mergeCell ref="B54:B57"/>
    <mergeCell ref="B62:B63"/>
    <mergeCell ref="B76:B77"/>
    <mergeCell ref="B86:B87"/>
    <mergeCell ref="B108:B109"/>
    <mergeCell ref="B110:B111"/>
    <mergeCell ref="B112:B113"/>
    <mergeCell ref="B114:B1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8:B49"/>
    <mergeCell ref="B50:B51"/>
    <mergeCell ref="B52:B53"/>
    <mergeCell ref="B58:B59"/>
    <mergeCell ref="B64:B65"/>
    <mergeCell ref="B66:B67"/>
    <mergeCell ref="B60:B61"/>
    <mergeCell ref="B68:B69"/>
    <mergeCell ref="B70:B71"/>
    <mergeCell ref="B78:B79"/>
    <mergeCell ref="B80:B81"/>
    <mergeCell ref="B82:B83"/>
    <mergeCell ref="B84:B85"/>
    <mergeCell ref="B88:B89"/>
    <mergeCell ref="B90:B91"/>
    <mergeCell ref="B92:B93"/>
    <mergeCell ref="B94:B95"/>
    <mergeCell ref="B96:B97"/>
    <mergeCell ref="B98:B99"/>
    <mergeCell ref="B100:B101"/>
    <mergeCell ref="B102:B103"/>
    <mergeCell ref="B104:B105"/>
    <mergeCell ref="B106:B107"/>
    <mergeCell ref="B8:B9"/>
    <mergeCell ref="B10:B11"/>
    <mergeCell ref="B12:B13"/>
    <mergeCell ref="B14:B15"/>
  </mergeCells>
  <conditionalFormatting sqref="B118:B65536 B88 B90 B92 B94 B96 B98 B116 B100 B102 B104 B106 B108 B110 B112 B114 B82 B78 B80 B84 B86 B64 B68 B66 B72:B76 B70 B38 B50 B48 B42 B54 B44 B58 B16 B40 B52 B18 B20 B22 B24 B26 B28 B30 B32 B34 B36 B3:B6 B8 B10 B12 B14 B60:B62">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03"/>
  <sheetViews>
    <sheetView showGridLines="0" workbookViewId="0" topLeftCell="B1">
      <selection activeCell="B59" sqref="A59:IV59"/>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363</v>
      </c>
    </row>
    <row r="2" ht="12.75">
      <c r="B2" s="83"/>
    </row>
    <row r="3" spans="2:3" ht="12.75">
      <c r="B3" s="86" t="s">
        <v>275</v>
      </c>
      <c r="C3" s="86" t="s">
        <v>276</v>
      </c>
    </row>
    <row r="4" spans="1:3" ht="12.75">
      <c r="A4" s="37"/>
      <c r="B4" s="87" t="s">
        <v>201</v>
      </c>
      <c r="C4" s="88" t="str">
        <f>'NIDS Data Entry + Netwk tables'!C11</f>
        <v>MAIN_ST</v>
      </c>
    </row>
    <row r="5" spans="1:3" ht="12.75">
      <c r="A5" s="37"/>
      <c r="B5" s="87" t="s">
        <v>296</v>
      </c>
      <c r="C5" s="89" t="s">
        <v>297</v>
      </c>
    </row>
    <row r="6" spans="1:3" ht="12.75">
      <c r="A6" s="37"/>
      <c r="B6" s="87" t="s">
        <v>277</v>
      </c>
      <c r="C6" s="88" t="str">
        <f>'NIDS Data Entry + Netwk tables'!C45</f>
        <v>n</v>
      </c>
    </row>
    <row r="7" spans="1:3" ht="12.75">
      <c r="A7" s="37"/>
      <c r="B7" s="87" t="s">
        <v>278</v>
      </c>
      <c r="C7" s="88" t="str">
        <f>'NIDS Data Entry + Netwk tables'!C46</f>
        <v>y</v>
      </c>
    </row>
    <row r="8" spans="2:3" ht="12.75">
      <c r="B8" s="87" t="s">
        <v>418</v>
      </c>
      <c r="C8" s="88" t="str">
        <f>'NIDS Data Entry + Netwk tables'!C47</f>
        <v>n</v>
      </c>
    </row>
    <row r="9" spans="2:3" ht="12.75">
      <c r="B9" s="87" t="s">
        <v>423</v>
      </c>
      <c r="C9" s="88" t="str">
        <f>'NIDS Data Entry + Netwk tables'!C48</f>
        <v>CABLE</v>
      </c>
    </row>
    <row r="10" spans="2:3" ht="12.75">
      <c r="B10" s="87" t="s">
        <v>279</v>
      </c>
      <c r="C10" s="88" t="str">
        <f>'NIDS Data Entry + Netwk tables'!C49</f>
        <v>y</v>
      </c>
    </row>
    <row r="11" spans="2:3" ht="12.75">
      <c r="B11" s="87" t="s">
        <v>280</v>
      </c>
      <c r="C11" s="88" t="str">
        <f>'NIDS Data Entry + Netwk tables'!C50</f>
        <v>n</v>
      </c>
    </row>
    <row r="12" spans="2:3" ht="12.75">
      <c r="B12" s="87" t="s">
        <v>281</v>
      </c>
      <c r="C12" s="88" t="str">
        <f>'NIDS Data Entry + Netwk tables'!C51</f>
        <v>medium</v>
      </c>
    </row>
    <row r="13" spans="2:3" ht="12.75">
      <c r="B13" s="87" t="s">
        <v>283</v>
      </c>
      <c r="C13" s="88">
        <f>'NIDS Data Entry + Netwk tables'!C52</f>
        <v>1</v>
      </c>
    </row>
    <row r="14" spans="2:3" ht="12.75">
      <c r="B14" s="87" t="s">
        <v>284</v>
      </c>
      <c r="C14" s="88" t="str">
        <f>'NIDS Data Entry + Netwk tables'!C53</f>
        <v>SUA</v>
      </c>
    </row>
    <row r="15" spans="2:3" ht="12.75">
      <c r="B15" s="87" t="s">
        <v>287</v>
      </c>
      <c r="C15" s="88" t="str">
        <f>'NIDS Data Entry + Netwk tables'!$C$58</f>
        <v>brokerems-MAIN_ST.name.cisco.com</v>
      </c>
    </row>
    <row r="16" spans="2:3" ht="12.75">
      <c r="B16" s="87" t="s">
        <v>286</v>
      </c>
      <c r="C16" s="88" t="str">
        <f>'NIDS Data Entry + Netwk tables'!$C$57</f>
        <v>broker-MAIN_ST.name.cisco.com</v>
      </c>
    </row>
    <row r="17" spans="2:3" ht="12.75">
      <c r="B17" s="87" t="s">
        <v>298</v>
      </c>
      <c r="C17" s="88" t="str">
        <f>'NIDS Data Entry + Netwk tables'!C12</f>
        <v>10.89.225.2</v>
      </c>
    </row>
    <row r="18" spans="2:3" ht="12.75">
      <c r="B18" s="87" t="s">
        <v>369</v>
      </c>
      <c r="C18" s="90" t="str">
        <f>TRIM('NIDS Data Entry + Netwk tables'!C13)</f>
        <v>10.89.224.2</v>
      </c>
    </row>
    <row r="19" spans="2:3" ht="12.75">
      <c r="B19" s="87" t="s">
        <v>288</v>
      </c>
      <c r="C19" s="88" t="str">
        <f>'NIDS Data Entry + Netwk tables'!C31</f>
        <v>prica</v>
      </c>
    </row>
    <row r="20" spans="2:3" ht="12.75">
      <c r="B20" s="87" t="s">
        <v>289</v>
      </c>
      <c r="C20" s="88" t="str">
        <f>'NIDS Data Entry + Netwk tables'!C33</f>
        <v>secca</v>
      </c>
    </row>
    <row r="21" spans="2:3" ht="12.75">
      <c r="B21" s="87" t="s">
        <v>290</v>
      </c>
      <c r="C21" s="88" t="str">
        <f>'NIDS Data Entry + Netwk tables'!C31</f>
        <v>prica</v>
      </c>
    </row>
    <row r="22" spans="2:3" ht="12.75">
      <c r="B22" s="87" t="s">
        <v>291</v>
      </c>
      <c r="C22" s="88" t="str">
        <f>'NIDS Data Entry + Netwk tables'!C33</f>
        <v>secca</v>
      </c>
    </row>
    <row r="23" spans="2:3" ht="12.75">
      <c r="B23" s="87" t="s">
        <v>292</v>
      </c>
      <c r="C23" s="88" t="str">
        <f>'NIDS Data Entry + Netwk tables'!C31</f>
        <v>prica</v>
      </c>
    </row>
    <row r="24" spans="2:3" ht="12.75">
      <c r="B24" s="87" t="s">
        <v>293</v>
      </c>
      <c r="C24" s="88" t="str">
        <f>'NIDS Data Entry + Netwk tables'!C33</f>
        <v>secca</v>
      </c>
    </row>
    <row r="25" spans="2:3" ht="12.75">
      <c r="B25" s="87" t="s">
        <v>294</v>
      </c>
      <c r="C25" s="88" t="str">
        <f>'NIDS Data Entry + Netwk tables'!C32</f>
        <v>priems</v>
      </c>
    </row>
    <row r="26" spans="2:3" ht="12.75">
      <c r="B26" s="87" t="s">
        <v>295</v>
      </c>
      <c r="C26" s="88" t="str">
        <f>'NIDS Data Entry + Netwk tables'!C34</f>
        <v>secems</v>
      </c>
    </row>
    <row r="27" spans="2:3" ht="12.75">
      <c r="B27" s="87" t="s">
        <v>300</v>
      </c>
      <c r="C27" s="89" t="str">
        <f>CONCATENATE("""CA",'NIDS Data Entry + Netwk tables'!$C$54,"""")</f>
        <v>"CA146"</v>
      </c>
    </row>
    <row r="28" spans="2:3" ht="12.75">
      <c r="B28" s="87" t="s">
        <v>301</v>
      </c>
      <c r="C28" s="89" t="str">
        <f>CONCATENATE("""FSAIN",'NIDS Data Entry + Netwk tables'!$C$55,"""")</f>
        <v>"FSAIN205"</v>
      </c>
    </row>
    <row r="29" spans="2:3" ht="12.75">
      <c r="B29" s="87" t="s">
        <v>302</v>
      </c>
      <c r="C29" s="89" t="str">
        <f>CONCATENATE("""FSPTC",'NIDS Data Entry + Netwk tables'!$C$56,"""")</f>
        <v>"FSPTC235"</v>
      </c>
    </row>
    <row r="30" spans="2:3" ht="12.75">
      <c r="B30" s="87" t="s">
        <v>303</v>
      </c>
      <c r="C30" s="89" t="s">
        <v>26</v>
      </c>
    </row>
    <row r="31" spans="2:3" ht="12.75">
      <c r="B31" s="87" t="s">
        <v>304</v>
      </c>
      <c r="C31" s="89" t="s">
        <v>27</v>
      </c>
    </row>
    <row r="32" spans="2:3" ht="12.75">
      <c r="B32" s="87" t="s">
        <v>305</v>
      </c>
      <c r="C32" s="89" t="str">
        <f>CONCATENATE("red-a",'NIDS Data Entry + Netwk tables'!$C$11,"CA",".",'NIDS Data Entry + Netwk tables'!$C$30)</f>
        <v>red-aMAIN_STCA.name.cisco.com</v>
      </c>
    </row>
    <row r="33" spans="2:3" ht="12.75">
      <c r="B33" s="87" t="s">
        <v>306</v>
      </c>
      <c r="C33" s="89" t="str">
        <f>CONCATENATE("red-b",'NIDS Data Entry + Netwk tables'!$C$11,"CA",".",'NIDS Data Entry + Netwk tables'!$C$30)</f>
        <v>red-bMAIN_STCA.name.cisco.com</v>
      </c>
    </row>
    <row r="34" spans="2:3" ht="12.75">
      <c r="B34" s="87" t="s">
        <v>307</v>
      </c>
      <c r="C34" s="89" t="str">
        <f>CONCATENATE("red-a",'NIDS Data Entry + Netwk tables'!$C$11,"AIN",".",'NIDS Data Entry + Netwk tables'!$C$30)</f>
        <v>red-aMAIN_STAIN.name.cisco.com</v>
      </c>
    </row>
    <row r="35" spans="2:3" ht="12.75">
      <c r="B35" s="87" t="s">
        <v>308</v>
      </c>
      <c r="C35" s="89" t="str">
        <f>CONCATENATE("red-b",'NIDS Data Entry + Netwk tables'!$C$11,"AIN",".",'NIDS Data Entry + Netwk tables'!$C$30)</f>
        <v>red-bMAIN_STAIN.name.cisco.com</v>
      </c>
    </row>
    <row r="36" spans="2:3" ht="12.75">
      <c r="B36" s="87" t="s">
        <v>309</v>
      </c>
      <c r="C36" s="89" t="str">
        <f>CONCATENATE("red-a",'NIDS Data Entry + Netwk tables'!$C$11,"PTC",".",'NIDS Data Entry + Netwk tables'!$C$30)</f>
        <v>red-aMAIN_STPTC.name.cisco.com</v>
      </c>
    </row>
    <row r="37" spans="2:3" ht="12.75">
      <c r="B37" s="87" t="s">
        <v>310</v>
      </c>
      <c r="C37" s="89" t="str">
        <f>CONCATENATE("red-b",'NIDS Data Entry + Netwk tables'!$C$11,"PTC",".",'NIDS Data Entry + Netwk tables'!$C$30)</f>
        <v>red-bMAIN_STPTC.name.cisco.com</v>
      </c>
    </row>
    <row r="38" spans="2:3" ht="12.75">
      <c r="B38" s="87" t="s">
        <v>311</v>
      </c>
      <c r="C38" s="89" t="str">
        <f>CONCATENATE("red-a",'NIDS Data Entry + Netwk tables'!$C$11,"EMS",".",'NIDS Data Entry + Netwk tables'!$C$30)</f>
        <v>red-aMAIN_STEMS.name.cisco.com</v>
      </c>
    </row>
    <row r="39" spans="2:3" ht="12.75">
      <c r="B39" s="87" t="s">
        <v>312</v>
      </c>
      <c r="C39" s="89" t="str">
        <f>CONCATENATE("red-b",'NIDS Data Entry + Netwk tables'!$C$11,"EMS",".",'NIDS Data Entry + Netwk tables'!$C$30)</f>
        <v>red-bMAIN_STEMS.name.cisco.com</v>
      </c>
    </row>
    <row r="40" spans="2:3" ht="12.75">
      <c r="B40" s="87" t="s">
        <v>313</v>
      </c>
      <c r="C40" s="89" t="str">
        <f>CONCATENATE("blg-a",'NIDS Data Entry + Netwk tables'!$C$11,"EMS",".",'NIDS Data Entry + Netwk tables'!$C$30)</f>
        <v>blg-aMAIN_STEMS.name.cisco.com</v>
      </c>
    </row>
    <row r="41" spans="2:3" ht="12.75">
      <c r="B41" s="87" t="s">
        <v>314</v>
      </c>
      <c r="C41" s="89" t="str">
        <f>CONCATENATE("blg-b",'NIDS Data Entry + Netwk tables'!$C$11,"EMS",".",'NIDS Data Entry + Netwk tables'!$C$30)</f>
        <v>blg-bMAIN_STEMS.name.cisco.com</v>
      </c>
    </row>
    <row r="42" spans="2:3" ht="12.75">
      <c r="B42" s="87" t="s">
        <v>315</v>
      </c>
      <c r="C42" s="89" t="str">
        <f>CONCATENATE("blg-a",'NIDS Data Entry + Netwk tables'!$C$11,"CA",".",'NIDS Data Entry + Netwk tables'!$C$30)</f>
        <v>blg-aMAIN_STCA.name.cisco.com</v>
      </c>
    </row>
    <row r="43" spans="2:3" ht="12.75">
      <c r="B43" s="87" t="s">
        <v>316</v>
      </c>
      <c r="C43" s="89" t="str">
        <f>CONCATENATE("blg-b",'NIDS Data Entry + Netwk tables'!$C$11,"CA",".",'NIDS Data Entry + Netwk tables'!$C$30)</f>
        <v>blg-bMAIN_STCA.name.cisco.com</v>
      </c>
    </row>
    <row r="44" spans="2:3" ht="12.75">
      <c r="B44" s="87" t="s">
        <v>366</v>
      </c>
      <c r="C44" s="89" t="str">
        <f>CONCATENATE("sia-",'NIDS Data Entry + Netwk tables'!$C$11,"CA",".",'NIDS Data Entry + Netwk tables'!$C$30)</f>
        <v>sia-MAIN_STCA.name.cisco.com</v>
      </c>
    </row>
    <row r="45" spans="2:3" ht="12.75">
      <c r="B45" s="87" t="str">
        <f>CONCATENATE("DNS_FOR_CA",'NIDS Data Entry + Netwk tables'!$C$54,"_MGA_COM")</f>
        <v>DNS_FOR_CA146_MGA_COM</v>
      </c>
      <c r="C45" s="89" t="str">
        <f>CONCATENATE("mgcp-",'NIDS Data Entry + Netwk tables'!$C$11,"CA",'NIDS Data Entry + Netwk tables'!$C$54,".",'NIDS Data Entry + Netwk tables'!$C$30)</f>
        <v>mgcp-MAIN_STCA146.name.cisco.com</v>
      </c>
    </row>
    <row r="46" spans="2:3" ht="12.75">
      <c r="B46" s="87" t="s">
        <v>317</v>
      </c>
      <c r="C46" s="89" t="str">
        <f>CONCATENATE("crit-a",'NIDS Data Entry + Netwk tables'!$C$11,"CA",".",'NIDS Data Entry + Netwk tables'!$C$30)</f>
        <v>crit-aMAIN_STCA.name.cisco.com</v>
      </c>
    </row>
    <row r="47" spans="2:3" ht="12.75">
      <c r="B47" s="87" t="s">
        <v>318</v>
      </c>
      <c r="C47" s="89" t="str">
        <f>CONCATENATE("crit-b",'NIDS Data Entry + Netwk tables'!$C$11,"CA",".",'NIDS Data Entry + Netwk tables'!$C$30)</f>
        <v>crit-bMAIN_STCA.name.cisco.com</v>
      </c>
    </row>
    <row r="48" spans="2:3" ht="12.75">
      <c r="B48" s="87" t="s">
        <v>202</v>
      </c>
      <c r="C48" s="89" t="str">
        <f>CONCATENATE("sia-",'NIDS Data Entry + Netwk tables'!$C$11,"CA",".",'NIDS Data Entry + Netwk tables'!$C$30)</f>
        <v>sia-MAIN_STCA.name.cisco.com</v>
      </c>
    </row>
    <row r="49" spans="2:3" ht="12.75">
      <c r="B49" s="87" t="str">
        <f>CONCATENATE("DNS_FOR_CA",'NIDS Data Entry + Netwk tables'!$C$54,"_SIA_COM")</f>
        <v>DNS_FOR_CA146_SIA_COM</v>
      </c>
      <c r="C49" s="89" t="str">
        <f>CONCATENATE("sia-",'NIDS Data Entry + Netwk tables'!$C$11,"CA",'NIDS Data Entry + Netwk tables'!$C$54,".",'NIDS Data Entry + Netwk tables'!$C$30)</f>
        <v>sia-MAIN_STCA146.name.cisco.com</v>
      </c>
    </row>
    <row r="50" spans="2:3" ht="12.75">
      <c r="B50" s="87" t="str">
        <f>CONCATENATE("DNS_FOR_CA",'NIDS Data Entry + Netwk tables'!$C$54,"_H3A_COM")</f>
        <v>DNS_FOR_CA146_H3A_COM</v>
      </c>
      <c r="C50" s="89" t="str">
        <f>CONCATENATE("h3a-",'NIDS Data Entry + Netwk tables'!$C$11,"CA",'NIDS Data Entry + Netwk tables'!$C$54,".",'NIDS Data Entry + Netwk tables'!$C$30)</f>
        <v>h3a-MAIN_STCA146.name.cisco.com</v>
      </c>
    </row>
    <row r="51" spans="2:3" ht="12.75">
      <c r="B51" s="87" t="str">
        <f>CONCATENATE("DNS_FOR_CA",'NIDS Data Entry + Netwk tables'!$C$54,"_SIM_COM")</f>
        <v>DNS_FOR_CA146_SIM_COM</v>
      </c>
      <c r="C51" s="89" t="str">
        <f>CONCATENATE("sim-",'NIDS Data Entry + Netwk tables'!$C$11,"CA",'NIDS Data Entry + Netwk tables'!$C$54,".",'NIDS Data Entry + Netwk tables'!$C$30)</f>
        <v>sim-MAIN_STCA146.name.cisco.com</v>
      </c>
    </row>
    <row r="52" spans="2:3" ht="12.75">
      <c r="B52" s="87" t="s">
        <v>319</v>
      </c>
      <c r="C52" s="89" t="str">
        <f>CONCATENATE("anm-a",'NIDS Data Entry + Netwk tables'!$C$11,"CA",".",'NIDS Data Entry + Netwk tables'!$C$30)</f>
        <v>anm-aMAIN_STCA.name.cisco.com</v>
      </c>
    </row>
    <row r="53" spans="2:3" ht="12.75">
      <c r="B53" s="87" t="s">
        <v>320</v>
      </c>
      <c r="C53" s="89" t="str">
        <f>CONCATENATE("anm-b",'NIDS Data Entry + Netwk tables'!$C$11,"CA",".",'NIDS Data Entry + Netwk tables'!$C$30)</f>
        <v>anm-bMAIN_STCA.name.cisco.com</v>
      </c>
    </row>
    <row r="54" spans="2:3" ht="12.75">
      <c r="B54" s="87" t="s">
        <v>203</v>
      </c>
      <c r="C54" s="89" t="str">
        <f>CONCATENATE("sga-a",'NIDS Data Entry + Netwk tables'!$C$11,"CA",".",'NIDS Data Entry + Netwk tables'!$C$30)</f>
        <v>sga-aMAIN_STCA.name.cisco.com</v>
      </c>
    </row>
    <row r="55" spans="2:3" ht="12.75">
      <c r="B55" s="87" t="s">
        <v>204</v>
      </c>
      <c r="C55" s="89" t="str">
        <f>CONCATENATE("sga-b",'NIDS Data Entry + Netwk tables'!$C$11,"CA",".",'NIDS Data Entry + Netwk tables'!$C$30)</f>
        <v>sga-bMAIN_STCA.name.cisco.com</v>
      </c>
    </row>
    <row r="56" spans="2:3" ht="12.75">
      <c r="B56" s="87" t="s">
        <v>205</v>
      </c>
      <c r="C56" s="89" t="str">
        <f>CONCATENATE("bsm-a1",'NIDS Data Entry + Netwk tables'!$C$11,"CA",".",'NIDS Data Entry + Netwk tables'!$C$30)</f>
        <v>bsm-a1MAIN_STCA.name.cisco.com</v>
      </c>
    </row>
    <row r="57" spans="2:3" ht="12.75">
      <c r="B57" s="87" t="s">
        <v>206</v>
      </c>
      <c r="C57" s="89" t="str">
        <f>CONCATENATE("bsm-a2",'NIDS Data Entry + Netwk tables'!$C$11,"CA",".",'NIDS Data Entry + Netwk tables'!$C$30)</f>
        <v>bsm-a2MAIN_STCA.name.cisco.com</v>
      </c>
    </row>
    <row r="58" spans="2:3" ht="12.75">
      <c r="B58" s="87" t="s">
        <v>207</v>
      </c>
      <c r="C58" s="89" t="str">
        <f>CONCATENATE("bsm-b1",'NIDS Data Entry + Netwk tables'!$C$11,"CA",".",'NIDS Data Entry + Netwk tables'!$C$30)</f>
        <v>bsm-b1MAIN_STCA.name.cisco.com</v>
      </c>
    </row>
    <row r="59" spans="2:3" ht="12.75">
      <c r="B59" s="87" t="s">
        <v>208</v>
      </c>
      <c r="C59" s="89" t="str">
        <f>CONCATENATE("bsm-b2",'NIDS Data Entry + Netwk tables'!$C$11,"CA",".",'NIDS Data Entry + Netwk tables'!$C$30)</f>
        <v>bsm-b2MAIN_STCA.name.cisco.com</v>
      </c>
    </row>
    <row r="60" spans="2:3" ht="12.75">
      <c r="B60" s="87" t="str">
        <f>CONCATENATE("DNS_FOR_FSAIN",'NIDS Data Entry + Netwk tables'!$C$55,"_ASM_COM")</f>
        <v>DNS_FOR_FSAIN205_ASM_COM</v>
      </c>
      <c r="C60" s="89" t="str">
        <f>CONCATENATE("asm-",'NIDS Data Entry + Netwk tables'!$C$11,"AIN",'NIDS Data Entry + Netwk tables'!$C$55,".",'NIDS Data Entry + Netwk tables'!$C$30)</f>
        <v>asm-MAIN_STAIN205.name.cisco.com</v>
      </c>
    </row>
    <row r="61" spans="2:3" ht="12.75">
      <c r="B61" s="87" t="s">
        <v>209</v>
      </c>
      <c r="C61" s="89" t="str">
        <f>CONCATENATE("crit-a",'NIDS Data Entry + Netwk tables'!$C$11,"AIN",".",'NIDS Data Entry + Netwk tables'!$C$30)</f>
        <v>crit-aMAIN_STAIN.name.cisco.com</v>
      </c>
    </row>
    <row r="62" spans="2:3" ht="12.75">
      <c r="B62" s="87" t="s">
        <v>210</v>
      </c>
      <c r="C62" s="89" t="str">
        <f>CONCATENATE("crit-b",'NIDS Data Entry + Netwk tables'!$C$11,"AIN",".",'NIDS Data Entry + Netwk tables'!$C$30)</f>
        <v>crit-bMAIN_STAIN.name.cisco.com</v>
      </c>
    </row>
    <row r="63" spans="2:3" ht="12.75">
      <c r="B63" s="87" t="s">
        <v>211</v>
      </c>
      <c r="C63" s="89" t="str">
        <f>CONCATENATE("sgw-a",'NIDS Data Entry + Netwk tables'!$C$11,"AIN",".",'NIDS Data Entry + Netwk tables'!$C$30)</f>
        <v>sgw-aMAIN_STAIN.name.cisco.com</v>
      </c>
    </row>
    <row r="64" spans="2:3" ht="12.75">
      <c r="B64" s="87" t="s">
        <v>212</v>
      </c>
      <c r="C64" s="89" t="str">
        <f>CONCATENATE("sgw-b",'NIDS Data Entry + Netwk tables'!$C$11,"AIN",".",'NIDS Data Entry + Netwk tables'!$C$30)</f>
        <v>sgw-bMAIN_STAIN.name.cisco.com</v>
      </c>
    </row>
    <row r="65" spans="2:3" ht="12.75">
      <c r="B65" s="87" t="str">
        <f>CONCATENATE("DNS_FOR_FSPTC",'NIDS Data Entry + Netwk tables'!$C$56,"_POTS_COM")</f>
        <v>DNS_FOR_FSPTC235_POTS_COM</v>
      </c>
      <c r="C65" s="89" t="str">
        <f>CONCATENATE("pots-",'NIDS Data Entry + Netwk tables'!$C$11,"PTC",'NIDS Data Entry + Netwk tables'!$C$56,".",'NIDS Data Entry + Netwk tables'!$C$30)</f>
        <v>pots-MAIN_STPTC235.name.cisco.com</v>
      </c>
    </row>
    <row r="66" spans="2:3" ht="12.75">
      <c r="B66" s="87" t="s">
        <v>213</v>
      </c>
      <c r="C66" s="89" t="str">
        <f>CONCATENATE("crit-a",'NIDS Data Entry + Netwk tables'!$C$11,"PTC",".",'NIDS Data Entry + Netwk tables'!$C$30)</f>
        <v>crit-aMAIN_STPTC.name.cisco.com</v>
      </c>
    </row>
    <row r="67" spans="2:3" ht="12.75">
      <c r="B67" s="87" t="s">
        <v>214</v>
      </c>
      <c r="C67" s="89" t="str">
        <f>CONCATENATE("crit-b",'NIDS Data Entry + Netwk tables'!$C$11,"PTC",".",'NIDS Data Entry + Netwk tables'!$C$30)</f>
        <v>crit-bMAIN_STPTC.name.cisco.com</v>
      </c>
    </row>
    <row r="68" spans="2:3" ht="12.75">
      <c r="B68" s="87" t="s">
        <v>215</v>
      </c>
      <c r="C68" s="89" t="str">
        <f>CONCATENATE("sgw-a",'NIDS Data Entry + Netwk tables'!$C$11,"PTC",".",'NIDS Data Entry + Netwk tables'!$C$30)</f>
        <v>sgw-aMAIN_STPTC.name.cisco.com</v>
      </c>
    </row>
    <row r="69" spans="2:3" ht="12.75">
      <c r="B69" s="87" t="s">
        <v>216</v>
      </c>
      <c r="C69" s="89" t="str">
        <f>CONCATENATE("sgw-b",'NIDS Data Entry + Netwk tables'!$C$11,"PTC",".",'NIDS Data Entry + Netwk tables'!$C$30)</f>
        <v>sgw-bMAIN_STPTC.name.cisco.com</v>
      </c>
    </row>
    <row r="70" spans="2:3" ht="12.75">
      <c r="B70" s="87" t="str">
        <f>CONCATENATE("DNS_FOR_FSPTC",'NIDS Data Entry + Netwk tables'!$C$56,"_GFS_COM")</f>
        <v>DNS_FOR_FSPTC235_GFS_COM</v>
      </c>
      <c r="C70" s="89" t="str">
        <f>CONCATENATE("gfs-",'NIDS Data Entry + Netwk tables'!$C$11,"PTC",'NIDS Data Entry + Netwk tables'!$C$56,".",'NIDS Data Entry + Netwk tables'!$C$30)</f>
        <v>gfs-MAIN_STPTC235.name.cisco.com</v>
      </c>
    </row>
    <row r="71" spans="2:3" ht="12.75">
      <c r="B71" s="87" t="s">
        <v>217</v>
      </c>
      <c r="C71" s="89" t="str">
        <f>CONCATENATE("crit-a",'NIDS Data Entry + Netwk tables'!$C$11,"EMS",".",'NIDS Data Entry + Netwk tables'!$C$30)</f>
        <v>crit-aMAIN_STEMS.name.cisco.com</v>
      </c>
    </row>
    <row r="72" spans="2:3" ht="12.75">
      <c r="B72" s="87" t="s">
        <v>218</v>
      </c>
      <c r="C72" s="89" t="str">
        <f>CONCATENATE("crit-b",'NIDS Data Entry + Netwk tables'!$C$11,"EMS",".",'NIDS Data Entry + Netwk tables'!$C$30)</f>
        <v>crit-bMAIN_STEMS.name.cisco.com</v>
      </c>
    </row>
    <row r="73" spans="2:3" ht="12.75">
      <c r="B73" s="87" t="s">
        <v>219</v>
      </c>
      <c r="C73" s="89" t="str">
        <f>CONCATENATE("oms-a",'NIDS Data Entry + Netwk tables'!$C$11,"CA",".",'NIDS Data Entry + Netwk tables'!$C$30)</f>
        <v>oms-aMAIN_STCA.name.cisco.com</v>
      </c>
    </row>
    <row r="74" spans="2:3" ht="12.75">
      <c r="B74" s="87" t="s">
        <v>220</v>
      </c>
      <c r="C74" s="89" t="str">
        <f>CONCATENATE("oms-b",'NIDS Data Entry + Netwk tables'!$C$11,"CA",".",'NIDS Data Entry + Netwk tables'!$C$30)</f>
        <v>oms-bMAIN_STCA.name.cisco.com</v>
      </c>
    </row>
    <row r="75" spans="2:3" ht="12.75">
      <c r="B75" s="87" t="s">
        <v>221</v>
      </c>
      <c r="C75" s="89" t="str">
        <f>CONCATENATE("oms-a",'NIDS Data Entry + Netwk tables'!$C$11,"AIN",".",'NIDS Data Entry + Netwk tables'!$C$30)</f>
        <v>oms-aMAIN_STAIN.name.cisco.com</v>
      </c>
    </row>
    <row r="76" spans="2:3" ht="12.75">
      <c r="B76" s="87" t="s">
        <v>222</v>
      </c>
      <c r="C76" s="89" t="str">
        <f>CONCATENATE("oms-b",'NIDS Data Entry + Netwk tables'!$C$11,"AIN",".",'NIDS Data Entry + Netwk tables'!$C$30)</f>
        <v>oms-bMAIN_STAIN.name.cisco.com</v>
      </c>
    </row>
    <row r="77" spans="2:3" ht="12.75">
      <c r="B77" s="87" t="s">
        <v>223</v>
      </c>
      <c r="C77" s="89" t="str">
        <f>CONCATENATE("oms-a",'NIDS Data Entry + Netwk tables'!$C$11,"PTC",".",'NIDS Data Entry + Netwk tables'!$C$30)</f>
        <v>oms-aMAIN_STPTC.name.cisco.com</v>
      </c>
    </row>
    <row r="78" spans="2:3" ht="12.75">
      <c r="B78" s="87" t="s">
        <v>224</v>
      </c>
      <c r="C78" s="89" t="str">
        <f>CONCATENATE("oms-b",'NIDS Data Entry + Netwk tables'!$C$11,"PTC",".",'NIDS Data Entry + Netwk tables'!$C$30)</f>
        <v>oms-bMAIN_STPTC.name.cisco.com</v>
      </c>
    </row>
    <row r="79" spans="1:3" s="84" customFormat="1" ht="12.75">
      <c r="A79" s="33"/>
      <c r="B79" s="87" t="s">
        <v>225</v>
      </c>
      <c r="C79" s="89" t="str">
        <f>CONCATENATE("oms-a",'NIDS Data Entry + Netwk tables'!$C$11,"EMS",".",'NIDS Data Entry + Netwk tables'!$C$30)</f>
        <v>oms-aMAIN_STEMS.name.cisco.com</v>
      </c>
    </row>
    <row r="80" spans="2:3" ht="12.75">
      <c r="B80" s="87" t="s">
        <v>229</v>
      </c>
      <c r="C80" s="89" t="str">
        <f>CONCATENATE("oms-b",'NIDS Data Entry + Netwk tables'!$C$11,"EMS",".",'NIDS Data Entry + Netwk tables'!$C$30)</f>
        <v>oms-bMAIN_STEMS.name.cisco.com</v>
      </c>
    </row>
    <row r="81" spans="2:3" ht="12.75">
      <c r="B81" s="87" t="str">
        <f>CONCATENATE("CA",'NIDS Data Entry + Netwk tables'!$C$54,"_LAF_PARAMETER")</f>
        <v>CA146_LAF_PARAMETER</v>
      </c>
      <c r="C81" s="89" t="str">
        <f>CONCATENATE("""",'NIDS Data Entry + Netwk tables'!$C$184," ",'NIDS Data Entry + Netwk tables'!$C$185," ",'NIDS Data Entry + Netwk tables'!$C$186,"""")</f>
        <v>"logStorage /archive/BTS1-CA 20"</v>
      </c>
    </row>
    <row r="82" spans="2:3" ht="12.75">
      <c r="B82" s="87" t="str">
        <f>CONCATENATE("FSPTC",'NIDS Data Entry + Netwk tables'!$C$56,"_LAF_PARAMETER")</f>
        <v>FSPTC235_LAF_PARAMETER</v>
      </c>
      <c r="C82" s="89" t="str">
        <f>CONCATENATE("""",'NIDS Data Entry + Netwk tables'!$C$187," ",'NIDS Data Entry + Netwk tables'!$C$188," ",'NIDS Data Entry + Netwk tables'!$C$189,"""")</f>
        <v>"logStorage /archive/BTS1-FSPTC 20"</v>
      </c>
    </row>
    <row r="83" spans="2:3" ht="12.75">
      <c r="B83" s="87" t="str">
        <f>CONCATENATE("FSAIN",'NIDS Data Entry + Netwk tables'!$C$55,"_LAF_PARAMETER")</f>
        <v>FSAIN205_LAF_PARAMETER</v>
      </c>
      <c r="C83" s="89" t="str">
        <f>CONCATENATE("""",'NIDS Data Entry + Netwk tables'!$C$190," ",'NIDS Data Entry + Netwk tables'!$C$191," ",'NIDS Data Entry + Netwk tables'!$C$192,"""")</f>
        <v>"logStorage /archive/BTS1-FSAIN 20"</v>
      </c>
    </row>
    <row r="84" spans="2:3" ht="12.75">
      <c r="B84" s="87" t="str">
        <f>CONCATENATE("EMS_LAF_PARAMETER")</f>
        <v>EMS_LAF_PARAMETER</v>
      </c>
      <c r="C84" s="89" t="str">
        <f>CONCATENATE("""",'NIDS Data Entry + Netwk tables'!$C$193," ",'NIDS Data Entry + Netwk tables'!$C$194," ",'NIDS Data Entry + Netwk tables'!$C$195,"""")</f>
        <v>"logStorage /archive/BTS1-EMS 20"</v>
      </c>
    </row>
    <row r="85" spans="2:3" ht="12.75">
      <c r="B85" s="87" t="str">
        <f>CONCATENATE("BDMS_LAF_PARAMETER")</f>
        <v>BDMS_LAF_PARAMETER</v>
      </c>
      <c r="C85" s="89" t="str">
        <f>CONCATENATE("""",'NIDS Data Entry + Netwk tables'!$C$196," ",'NIDS Data Entry + Netwk tables'!$C$197," ",'NIDS Data Entry + Netwk tables'!$C$198,"""")</f>
        <v>"logStorage /archive/BTS1-BDMS 20"</v>
      </c>
    </row>
    <row r="86" spans="2:3" ht="12.75">
      <c r="B86" s="87" t="s">
        <v>557</v>
      </c>
      <c r="C86" s="89" t="str">
        <f>CONCATENATE('NIDS Data Entry + Netwk tables'!$C$201)</f>
        <v>y</v>
      </c>
    </row>
    <row r="87" ht="12.75"/>
    <row r="88" ht="12.75"/>
    <row r="89" ht="12.75"/>
    <row r="103" ht="12.75">
      <c r="C103"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D565"/>
  <sheetViews>
    <sheetView showGridLines="0" workbookViewId="0" topLeftCell="A84">
      <selection activeCell="A427" sqref="A427"/>
    </sheetView>
  </sheetViews>
  <sheetFormatPr defaultColWidth="9.140625" defaultRowHeight="12.75"/>
  <cols>
    <col min="1" max="1" width="98.8515625" style="92" bestFit="1" customWidth="1"/>
    <col min="2" max="16384" width="0" style="69" hidden="1" customWidth="1"/>
  </cols>
  <sheetData>
    <row r="1" ht="13.5">
      <c r="A1" s="93" t="s">
        <v>327</v>
      </c>
    </row>
    <row r="2" ht="13.5">
      <c r="A2" s="93" t="s">
        <v>467</v>
      </c>
    </row>
    <row r="3" ht="13.5">
      <c r="A3" s="93" t="s">
        <v>328</v>
      </c>
    </row>
    <row r="4" spans="1:4" ht="13.5">
      <c r="A4" s="93" t="s">
        <v>436</v>
      </c>
      <c r="B4" s="69" t="s">
        <v>425</v>
      </c>
      <c r="D4" s="69" t="s">
        <v>426</v>
      </c>
    </row>
    <row r="5" spans="1:3" ht="13.5">
      <c r="A5" s="93" t="s">
        <v>437</v>
      </c>
      <c r="B5" s="69" t="s">
        <v>427</v>
      </c>
      <c r="C5" s="69" t="s">
        <v>428</v>
      </c>
    </row>
    <row r="6" spans="1:3" ht="13.5">
      <c r="A6" s="93" t="s">
        <v>438</v>
      </c>
      <c r="B6" s="124">
        <v>36650</v>
      </c>
      <c r="C6" s="69" t="s">
        <v>429</v>
      </c>
    </row>
    <row r="7" spans="1:3" ht="13.5">
      <c r="A7" s="93" t="s">
        <v>439</v>
      </c>
      <c r="B7" s="124">
        <v>36753</v>
      </c>
      <c r="C7" s="69" t="s">
        <v>430</v>
      </c>
    </row>
    <row r="8" spans="1:3" ht="13.5">
      <c r="A8" s="93" t="s">
        <v>440</v>
      </c>
      <c r="B8" s="124">
        <v>36761</v>
      </c>
      <c r="C8" s="69" t="s">
        <v>431</v>
      </c>
    </row>
    <row r="9" spans="1:3" ht="13.5">
      <c r="A9" s="93" t="s">
        <v>441</v>
      </c>
      <c r="B9" s="124">
        <v>37006</v>
      </c>
      <c r="C9" s="69" t="s">
        <v>432</v>
      </c>
    </row>
    <row r="10" ht="13.5">
      <c r="A10" s="93" t="s">
        <v>442</v>
      </c>
    </row>
    <row r="11" spans="1:3" ht="13.5">
      <c r="A11" s="93" t="s">
        <v>443</v>
      </c>
      <c r="B11" s="124">
        <v>37236</v>
      </c>
      <c r="C11" s="69" t="s">
        <v>433</v>
      </c>
    </row>
    <row r="12" spans="1:3" ht="13.5">
      <c r="A12" s="93" t="s">
        <v>444</v>
      </c>
      <c r="B12" s="124">
        <v>37291</v>
      </c>
      <c r="C12" s="69" t="s">
        <v>434</v>
      </c>
    </row>
    <row r="13" ht="13.5">
      <c r="A13" s="93" t="s">
        <v>329</v>
      </c>
    </row>
    <row r="14" spans="1:3" ht="13.5">
      <c r="A14" s="93" t="s">
        <v>445</v>
      </c>
      <c r="B14" s="124">
        <v>37438</v>
      </c>
      <c r="C14" s="69" t="s">
        <v>435</v>
      </c>
    </row>
    <row r="15" ht="13.5">
      <c r="A15" s="93" t="s">
        <v>446</v>
      </c>
    </row>
    <row r="16" ht="13.5">
      <c r="A16" s="93" t="s">
        <v>447</v>
      </c>
    </row>
    <row r="17" ht="13.5">
      <c r="A17" s="93" t="s">
        <v>448</v>
      </c>
    </row>
    <row r="18" ht="13.5">
      <c r="A18" s="93" t="s">
        <v>449</v>
      </c>
    </row>
    <row r="19" ht="13.5">
      <c r="A19" s="93" t="s">
        <v>330</v>
      </c>
    </row>
    <row r="20" ht="13.5">
      <c r="A20" s="93" t="s">
        <v>468</v>
      </c>
    </row>
    <row r="21" ht="13.5">
      <c r="A21" s="93" t="s">
        <v>469</v>
      </c>
    </row>
    <row r="22" ht="13.5">
      <c r="A22" s="93" t="s">
        <v>331</v>
      </c>
    </row>
    <row r="23" ht="13.5">
      <c r="A23" s="93" t="s">
        <v>332</v>
      </c>
    </row>
    <row r="24" ht="13.5">
      <c r="A24" s="93" t="s">
        <v>470</v>
      </c>
    </row>
    <row r="25" ht="13.5">
      <c r="A25" s="93" t="s">
        <v>333</v>
      </c>
    </row>
    <row r="26" ht="13.5">
      <c r="A26" s="93" t="s">
        <v>471</v>
      </c>
    </row>
    <row r="27" ht="13.5">
      <c r="A27" s="93" t="s">
        <v>334</v>
      </c>
    </row>
    <row r="28" ht="13.5">
      <c r="A28" s="93" t="s">
        <v>472</v>
      </c>
    </row>
    <row r="29" ht="13.5">
      <c r="A29" s="93" t="s">
        <v>3</v>
      </c>
    </row>
    <row r="30" ht="13.5">
      <c r="A30" s="93" t="s">
        <v>413</v>
      </c>
    </row>
    <row r="31" ht="13.5">
      <c r="A31" s="93" t="s">
        <v>414</v>
      </c>
    </row>
    <row r="32" ht="13.5">
      <c r="A32" s="93" t="s">
        <v>415</v>
      </c>
    </row>
    <row r="33" ht="13.5">
      <c r="A33" s="93" t="s">
        <v>4</v>
      </c>
    </row>
    <row r="34" ht="13.5">
      <c r="A34" s="93" t="s">
        <v>5</v>
      </c>
    </row>
    <row r="35" ht="13.5">
      <c r="A35" s="93" t="s">
        <v>6</v>
      </c>
    </row>
    <row r="36" ht="13.5">
      <c r="A36" s="93" t="s">
        <v>473</v>
      </c>
    </row>
    <row r="37" ht="13.5">
      <c r="A37" s="93" t="s">
        <v>416</v>
      </c>
    </row>
    <row r="38" ht="13.5">
      <c r="A38" s="93" t="s">
        <v>474</v>
      </c>
    </row>
    <row r="39" ht="13.5">
      <c r="A39" s="93" t="s">
        <v>568</v>
      </c>
    </row>
    <row r="40" ht="13.5">
      <c r="A40" s="93" t="s">
        <v>569</v>
      </c>
    </row>
    <row r="41" ht="13.5">
      <c r="A41" s="93" t="s">
        <v>328</v>
      </c>
    </row>
    <row r="42" ht="13.5">
      <c r="A42" s="93" t="s">
        <v>335</v>
      </c>
    </row>
    <row r="43" ht="13.5">
      <c r="A43" s="93" t="s">
        <v>328</v>
      </c>
    </row>
    <row r="44" ht="13.5">
      <c r="A44" s="93" t="s">
        <v>122</v>
      </c>
    </row>
    <row r="45" ht="13.5">
      <c r="A45" s="93" t="s">
        <v>123</v>
      </c>
    </row>
    <row r="46" ht="13.5">
      <c r="A46" s="93" t="s">
        <v>124</v>
      </c>
    </row>
    <row r="47" ht="13.5">
      <c r="A47" s="93" t="s">
        <v>125</v>
      </c>
    </row>
    <row r="48" ht="13.5">
      <c r="A48" s="93" t="s">
        <v>126</v>
      </c>
    </row>
    <row r="49" ht="13.5">
      <c r="A49" s="93" t="s">
        <v>336</v>
      </c>
    </row>
    <row r="50" ht="13.5">
      <c r="A50" s="93" t="s">
        <v>127</v>
      </c>
    </row>
    <row r="51" ht="13.5">
      <c r="A51" s="93" t="s">
        <v>328</v>
      </c>
    </row>
    <row r="52" ht="13.5">
      <c r="A52" s="93" t="s">
        <v>328</v>
      </c>
    </row>
    <row r="53" ht="13.5">
      <c r="A53" s="93" t="s">
        <v>28</v>
      </c>
    </row>
    <row r="54" ht="13.5">
      <c r="A54" s="93" t="s">
        <v>29</v>
      </c>
    </row>
    <row r="55" ht="13.5">
      <c r="A55" s="93" t="s">
        <v>30</v>
      </c>
    </row>
    <row r="56" ht="13.5">
      <c r="A56" s="93" t="s">
        <v>31</v>
      </c>
    </row>
    <row r="57" ht="13.5">
      <c r="A57" s="93" t="s">
        <v>328</v>
      </c>
    </row>
    <row r="58" ht="13.5">
      <c r="A58" s="93" t="s">
        <v>32</v>
      </c>
    </row>
    <row r="59" ht="13.5">
      <c r="A59" s="93" t="s">
        <v>328</v>
      </c>
    </row>
    <row r="60" ht="13.5">
      <c r="A60" s="93" t="s">
        <v>33</v>
      </c>
    </row>
    <row r="61" ht="13.5">
      <c r="A61" s="93" t="s">
        <v>34</v>
      </c>
    </row>
    <row r="62" ht="13.5">
      <c r="A62" s="93" t="s">
        <v>35</v>
      </c>
    </row>
    <row r="63" ht="13.5">
      <c r="A63" s="93" t="s">
        <v>36</v>
      </c>
    </row>
    <row r="64" ht="13.5">
      <c r="A64" s="93" t="s">
        <v>37</v>
      </c>
    </row>
    <row r="65" ht="13.5">
      <c r="A65" s="93" t="s">
        <v>38</v>
      </c>
    </row>
    <row r="66" ht="13.5">
      <c r="A66" s="93" t="s">
        <v>39</v>
      </c>
    </row>
    <row r="67" ht="13.5">
      <c r="A67" s="93" t="s">
        <v>37</v>
      </c>
    </row>
    <row r="68" ht="13.5">
      <c r="A68" s="93" t="s">
        <v>40</v>
      </c>
    </row>
    <row r="69" ht="13.5">
      <c r="A69" s="93" t="s">
        <v>41</v>
      </c>
    </row>
    <row r="70" ht="13.5">
      <c r="A70" s="93" t="s">
        <v>42</v>
      </c>
    </row>
    <row r="71" ht="13.5">
      <c r="A71" s="93" t="s">
        <v>43</v>
      </c>
    </row>
    <row r="72" ht="13.5">
      <c r="A72" s="93" t="s">
        <v>44</v>
      </c>
    </row>
    <row r="73" ht="13.5">
      <c r="A73" s="93" t="s">
        <v>45</v>
      </c>
    </row>
    <row r="74" ht="13.5">
      <c r="A74" s="93" t="s">
        <v>46</v>
      </c>
    </row>
    <row r="75" ht="13.5">
      <c r="A75" s="93" t="s">
        <v>328</v>
      </c>
    </row>
    <row r="76" ht="13.5">
      <c r="A76" s="93" t="s">
        <v>47</v>
      </c>
    </row>
    <row r="77" ht="13.5">
      <c r="A77" s="93"/>
    </row>
    <row r="78" ht="13.5">
      <c r="A78" s="93"/>
    </row>
    <row r="79" ht="13.5">
      <c r="A79" s="93" t="s">
        <v>48</v>
      </c>
    </row>
    <row r="80" ht="13.5">
      <c r="A80" s="93" t="s">
        <v>49</v>
      </c>
    </row>
    <row r="81" ht="13.5">
      <c r="A81" s="93" t="s">
        <v>328</v>
      </c>
    </row>
    <row r="82" ht="13.5">
      <c r="A82" s="93" t="s">
        <v>50</v>
      </c>
    </row>
    <row r="83" ht="13.5">
      <c r="A83" s="93" t="s">
        <v>328</v>
      </c>
    </row>
    <row r="84" ht="13.5">
      <c r="A84" s="93" t="str">
        <f>CONCATENATE('NIDS Opticall table'!$B$4,"=",'NIDS Opticall table'!$C$4)</f>
        <v>SITEID=MAIN_ST</v>
      </c>
    </row>
    <row r="85" ht="13.5">
      <c r="A85" s="93"/>
    </row>
    <row r="86" ht="13.5">
      <c r="A86" s="93"/>
    </row>
    <row r="87" ht="13.5">
      <c r="A87" s="93" t="s">
        <v>328</v>
      </c>
    </row>
    <row r="88" ht="13.5">
      <c r="A88" s="93" t="s">
        <v>51</v>
      </c>
    </row>
    <row r="89" ht="13.5">
      <c r="A89" s="93" t="s">
        <v>52</v>
      </c>
    </row>
    <row r="90" ht="13.5">
      <c r="A90" s="93" t="s">
        <v>53</v>
      </c>
    </row>
    <row r="91" ht="13.5">
      <c r="A91" s="93" t="s">
        <v>328</v>
      </c>
    </row>
    <row r="92" ht="13.5">
      <c r="A92" s="131" t="str">
        <f>CONCATENATE('NIDS Opticall table'!$B$6,"=",'NIDS Opticall table'!$C$6)</f>
        <v>GDRS_ENABLED=n</v>
      </c>
    </row>
    <row r="93" ht="13.5">
      <c r="A93" s="93"/>
    </row>
    <row r="94" ht="13.5">
      <c r="A94" s="93"/>
    </row>
    <row r="95" ht="13.5">
      <c r="A95" s="93" t="s">
        <v>328</v>
      </c>
    </row>
    <row r="96" ht="13.5">
      <c r="A96" s="93" t="s">
        <v>128</v>
      </c>
    </row>
    <row r="97" ht="13.5">
      <c r="A97" s="93" t="s">
        <v>54</v>
      </c>
    </row>
    <row r="98" ht="13.5">
      <c r="A98" s="93" t="s">
        <v>328</v>
      </c>
    </row>
    <row r="99" ht="13.5">
      <c r="A99" s="131" t="str">
        <f>CONCATENATE('NIDS Opticall table'!$B$7,"=",'NIDS Opticall table'!$C$7)</f>
        <v>H323_ENABLED=y</v>
      </c>
    </row>
    <row r="100" ht="13.5">
      <c r="A100" s="93"/>
    </row>
    <row r="101" ht="13.5">
      <c r="A101" s="93"/>
    </row>
    <row r="102" ht="13.5">
      <c r="A102" s="93" t="s">
        <v>328</v>
      </c>
    </row>
    <row r="103" ht="13.5">
      <c r="A103" s="93" t="s">
        <v>475</v>
      </c>
    </row>
    <row r="104" ht="13.5">
      <c r="A104" s="93" t="s">
        <v>476</v>
      </c>
    </row>
    <row r="105" ht="13.5">
      <c r="A105" s="93" t="s">
        <v>417</v>
      </c>
    </row>
    <row r="106" ht="13.5">
      <c r="A106" s="93" t="s">
        <v>328</v>
      </c>
    </row>
    <row r="107" ht="13.5">
      <c r="A107" s="131" t="str">
        <f>CONCATENATE('NIDS Opticall table'!$B$8,"=",'NIDS Opticall table'!$C$8)</f>
        <v>NAMED_ENABLED=n</v>
      </c>
    </row>
    <row r="108" ht="13.5">
      <c r="A108" s="93"/>
    </row>
    <row r="109" ht="13.5">
      <c r="A109" s="93"/>
    </row>
    <row r="110" ht="13.5">
      <c r="A110" s="93"/>
    </row>
    <row r="111" ht="13.5">
      <c r="A111" s="93" t="s">
        <v>549</v>
      </c>
    </row>
    <row r="112" ht="13.5">
      <c r="A112" s="93" t="s">
        <v>550</v>
      </c>
    </row>
    <row r="113" ht="13.5">
      <c r="A113" s="93" t="s">
        <v>558</v>
      </c>
    </row>
    <row r="114" ht="13.5">
      <c r="A114" s="93" t="s">
        <v>551</v>
      </c>
    </row>
    <row r="115" ht="13.5">
      <c r="A115" s="93" t="s">
        <v>328</v>
      </c>
    </row>
    <row r="116" ht="12.75">
      <c r="A116" t="str">
        <f>CONCATENATE('NIDS Opticall table'!$B$86,"=",'NIDS Opticall table'!$C$86)</f>
        <v>NSCD_ENABLED=y</v>
      </c>
    </row>
    <row r="117" ht="13.5">
      <c r="A117" s="93"/>
    </row>
    <row r="118" ht="13.5">
      <c r="A118" s="131"/>
    </row>
    <row r="119" ht="13.5">
      <c r="A119" s="93" t="s">
        <v>328</v>
      </c>
    </row>
    <row r="120" ht="13.5">
      <c r="A120" s="93" t="s">
        <v>419</v>
      </c>
    </row>
    <row r="121" ht="13.5">
      <c r="A121" s="93" t="s">
        <v>477</v>
      </c>
    </row>
    <row r="122" ht="13.5">
      <c r="A122" s="93" t="s">
        <v>478</v>
      </c>
    </row>
    <row r="123" ht="13.5">
      <c r="A123" s="93" t="s">
        <v>479</v>
      </c>
    </row>
    <row r="124" ht="13.5">
      <c r="A124" s="93" t="s">
        <v>480</v>
      </c>
    </row>
    <row r="125" ht="13.5">
      <c r="A125" s="93" t="s">
        <v>420</v>
      </c>
    </row>
    <row r="126" ht="13.5">
      <c r="A126" s="93" t="s">
        <v>328</v>
      </c>
    </row>
    <row r="127" ht="13.5">
      <c r="A127" s="131" t="str">
        <f>CONCATENATE('NIDS Opticall table'!$B$9,"=",'NIDS Opticall table'!$C$9)</f>
        <v>MARKET_TYPE=CABLE</v>
      </c>
    </row>
    <row r="128" ht="13.5">
      <c r="A128" s="93"/>
    </row>
    <row r="129" ht="13.5">
      <c r="A129" s="93"/>
    </row>
    <row r="130" ht="13.5">
      <c r="A130" s="93" t="s">
        <v>328</v>
      </c>
    </row>
    <row r="131" ht="13.5">
      <c r="A131" s="93" t="s">
        <v>129</v>
      </c>
    </row>
    <row r="132" ht="13.5">
      <c r="A132" s="93" t="s">
        <v>55</v>
      </c>
    </row>
    <row r="133" ht="13.5">
      <c r="A133" s="93" t="s">
        <v>130</v>
      </c>
    </row>
    <row r="134" ht="13.5">
      <c r="A134" s="93" t="s">
        <v>56</v>
      </c>
    </row>
    <row r="135" ht="13.5">
      <c r="A135" s="93" t="s">
        <v>57</v>
      </c>
    </row>
    <row r="136" ht="13.5">
      <c r="A136" s="93" t="s">
        <v>328</v>
      </c>
    </row>
    <row r="137" ht="13.5">
      <c r="A137" s="93" t="s">
        <v>58</v>
      </c>
    </row>
    <row r="138" ht="13.5">
      <c r="A138" s="93"/>
    </row>
    <row r="139" ht="13.5">
      <c r="A139" s="131" t="str">
        <f>CONCATENATE('NIDS Opticall table'!$B$10,"=",'NIDS Opticall table'!$C$10)</f>
        <v>SS7_ENABLED=y</v>
      </c>
    </row>
    <row r="140" ht="13.5">
      <c r="A140" s="93"/>
    </row>
    <row r="141" ht="13.5">
      <c r="A141" s="93"/>
    </row>
    <row r="142" ht="13.5">
      <c r="A142" s="93" t="s">
        <v>131</v>
      </c>
    </row>
    <row r="143" ht="13.5">
      <c r="A143" s="93" t="s">
        <v>59</v>
      </c>
    </row>
    <row r="144" ht="13.5">
      <c r="A144" s="93" t="s">
        <v>60</v>
      </c>
    </row>
    <row r="145" ht="13.5">
      <c r="A145" s="93" t="s">
        <v>328</v>
      </c>
    </row>
    <row r="146" ht="13.5">
      <c r="A146" s="131" t="str">
        <f>CONCATENATE('NIDS Opticall table'!$B$11,"=",'NIDS Opticall table'!$C$11)</f>
        <v>IPSEC_ENABLED=n</v>
      </c>
    </row>
    <row r="147" ht="13.5">
      <c r="A147" s="93"/>
    </row>
    <row r="148" ht="13.5">
      <c r="A148" s="93"/>
    </row>
    <row r="149" ht="13.5">
      <c r="A149" s="93" t="s">
        <v>328</v>
      </c>
    </row>
    <row r="150" ht="13.5">
      <c r="A150" s="93" t="s">
        <v>61</v>
      </c>
    </row>
    <row r="151" ht="13.5">
      <c r="A151" s="93" t="s">
        <v>481</v>
      </c>
    </row>
    <row r="152" ht="13.5">
      <c r="A152" s="93" t="s">
        <v>482</v>
      </c>
    </row>
    <row r="153" ht="13.5">
      <c r="A153" s="93" t="s">
        <v>282</v>
      </c>
    </row>
    <row r="154" ht="13.5">
      <c r="A154" s="93" t="s">
        <v>483</v>
      </c>
    </row>
    <row r="155" ht="13.5">
      <c r="A155" s="93" t="s">
        <v>484</v>
      </c>
    </row>
    <row r="156" ht="13.5">
      <c r="A156" s="93" t="s">
        <v>132</v>
      </c>
    </row>
    <row r="157" ht="13.5">
      <c r="A157" s="93" t="s">
        <v>133</v>
      </c>
    </row>
    <row r="158" ht="13.5">
      <c r="A158" s="93" t="s">
        <v>485</v>
      </c>
    </row>
    <row r="159" ht="13.5">
      <c r="A159" s="93" t="s">
        <v>486</v>
      </c>
    </row>
    <row r="160" ht="13.5">
      <c r="A160" s="93" t="s">
        <v>487</v>
      </c>
    </row>
    <row r="161" ht="13.5">
      <c r="A161" s="93" t="s">
        <v>488</v>
      </c>
    </row>
    <row r="162" ht="13.5">
      <c r="A162" s="93" t="s">
        <v>328</v>
      </c>
    </row>
    <row r="163" ht="13.5">
      <c r="A163" s="131" t="str">
        <f>CONCATENATE('NIDS Opticall table'!$B$12,"=",'NIDS Opticall table'!$C$12)</f>
        <v>MEM_CFG_SELECTION=medium</v>
      </c>
    </row>
    <row r="164" ht="13.5">
      <c r="A164" s="93"/>
    </row>
    <row r="165" ht="13.5">
      <c r="A165" s="93"/>
    </row>
    <row r="166" ht="13.5">
      <c r="A166" s="93" t="s">
        <v>63</v>
      </c>
    </row>
    <row r="167" ht="13.5">
      <c r="A167" s="93" t="s">
        <v>64</v>
      </c>
    </row>
    <row r="168" ht="13.5">
      <c r="A168" s="93" t="s">
        <v>65</v>
      </c>
    </row>
    <row r="169" ht="13.5">
      <c r="A169" s="93" t="s">
        <v>328</v>
      </c>
    </row>
    <row r="170" ht="13.5">
      <c r="A170" s="131" t="str">
        <f>CONCATENATE('NIDS Opticall table'!$B$13,"=",'NIDS Opticall table'!$C$13)</f>
        <v>CONFIGURATION=1</v>
      </c>
    </row>
    <row r="171" ht="13.5">
      <c r="A171" s="93"/>
    </row>
    <row r="172" ht="13.5">
      <c r="A172" s="93"/>
    </row>
    <row r="173" ht="13.5">
      <c r="A173" s="93" t="s">
        <v>66</v>
      </c>
    </row>
    <row r="174" ht="13.5">
      <c r="A174" s="93" t="s">
        <v>67</v>
      </c>
    </row>
    <row r="175" ht="13.5">
      <c r="A175" s="93" t="s">
        <v>489</v>
      </c>
    </row>
    <row r="176" ht="13.5">
      <c r="A176" s="93" t="s">
        <v>134</v>
      </c>
    </row>
    <row r="177" ht="13.5">
      <c r="A177" s="93" t="s">
        <v>135</v>
      </c>
    </row>
    <row r="178" ht="13.5">
      <c r="A178" s="93" t="s">
        <v>68</v>
      </c>
    </row>
    <row r="179" ht="13.5">
      <c r="A179" s="93" t="s">
        <v>490</v>
      </c>
    </row>
    <row r="180" ht="13.5">
      <c r="A180" s="93" t="s">
        <v>328</v>
      </c>
    </row>
    <row r="181" ht="13.5">
      <c r="A181" s="131" t="str">
        <f>CONCATENATE('NIDS Opticall table'!$B$14,"=",'NIDS Opticall table'!$C$14)</f>
        <v>SGW_OPTION=SUA</v>
      </c>
    </row>
    <row r="182" ht="13.5">
      <c r="A182" s="93"/>
    </row>
    <row r="183" ht="13.5">
      <c r="A183" s="93"/>
    </row>
    <row r="184" ht="13.5">
      <c r="A184" s="93" t="s">
        <v>7</v>
      </c>
    </row>
    <row r="185" ht="13.5">
      <c r="A185" s="93" t="s">
        <v>8</v>
      </c>
    </row>
    <row r="186" ht="13.5">
      <c r="A186" s="93" t="s">
        <v>9</v>
      </c>
    </row>
    <row r="187" ht="13.5">
      <c r="A187" s="93" t="s">
        <v>10</v>
      </c>
    </row>
    <row r="188" ht="13.5">
      <c r="A188" s="93" t="s">
        <v>136</v>
      </c>
    </row>
    <row r="189" ht="13.5">
      <c r="A189" s="93" t="s">
        <v>328</v>
      </c>
    </row>
    <row r="190" ht="13.5">
      <c r="A190" s="131" t="str">
        <f>CONCATENATE('NIDS Opticall table'!$B$15,"=",'NIDS Opticall table'!$C$15)</f>
        <v>BROKER_DNS_FOR_PMG_IN_EMS=brokerems-MAIN_ST.name.cisco.com</v>
      </c>
    </row>
    <row r="191" ht="13.5">
      <c r="A191" s="131" t="str">
        <f>CONCATENATE('NIDS Opticall table'!$B$16,"=",'NIDS Opticall table'!$C$16)</f>
        <v>BROKER_DNS_FOR_PMG_IN_CA=broker-MAIN_ST.name.cisco.com</v>
      </c>
    </row>
    <row r="192" ht="13.5">
      <c r="A192" s="131"/>
    </row>
    <row r="193" ht="13.5">
      <c r="A193" s="131" t="s">
        <v>453</v>
      </c>
    </row>
    <row r="194" ht="13.5">
      <c r="A194" s="131" t="s">
        <v>454</v>
      </c>
    </row>
    <row r="195" ht="13.5">
      <c r="A195" s="131" t="s">
        <v>455</v>
      </c>
    </row>
    <row r="196" ht="13.5">
      <c r="A196" s="131" t="s">
        <v>456</v>
      </c>
    </row>
    <row r="197" ht="13.5">
      <c r="A197" s="131" t="s">
        <v>457</v>
      </c>
    </row>
    <row r="198" ht="13.5">
      <c r="A198" s="131" t="s">
        <v>458</v>
      </c>
    </row>
    <row r="199" ht="13.5">
      <c r="A199" s="131" t="s">
        <v>459</v>
      </c>
    </row>
    <row r="200" ht="13.5">
      <c r="A200" s="131" t="s">
        <v>328</v>
      </c>
    </row>
    <row r="201" ht="13.5">
      <c r="A201" s="131" t="str">
        <f>CONCATENATE("NTP_SERVERS","=","""",'NIDS Opticall table'!$C$17," ",'NIDS Opticall table'!$C$18,"""")</f>
        <v>NTP_SERVERS="10.89.225.2 10.89.224.2"</v>
      </c>
    </row>
    <row r="202" ht="13.5">
      <c r="A202" s="131"/>
    </row>
    <row r="203" ht="13.5">
      <c r="A203" s="93" t="s">
        <v>69</v>
      </c>
    </row>
    <row r="204" ht="13.5">
      <c r="A204" s="93" t="s">
        <v>48</v>
      </c>
    </row>
    <row r="205" ht="13.5">
      <c r="A205" s="93"/>
    </row>
    <row r="206" ht="13.5">
      <c r="A206" s="93"/>
    </row>
    <row r="207" ht="13.5">
      <c r="A207" s="93" t="s">
        <v>70</v>
      </c>
    </row>
    <row r="208" ht="13.5">
      <c r="A208" s="93" t="s">
        <v>328</v>
      </c>
    </row>
    <row r="209" ht="13.5">
      <c r="A209" s="93" t="s">
        <v>137</v>
      </c>
    </row>
    <row r="210" ht="13.5">
      <c r="A210" s="93" t="s">
        <v>138</v>
      </c>
    </row>
    <row r="211" ht="13.5">
      <c r="A211" s="93" t="s">
        <v>139</v>
      </c>
    </row>
    <row r="212" ht="13.5">
      <c r="A212" s="93" t="s">
        <v>71</v>
      </c>
    </row>
    <row r="213" ht="13.5">
      <c r="A213" s="93" t="s">
        <v>328</v>
      </c>
    </row>
    <row r="214" ht="13.5">
      <c r="A214" s="93" t="s">
        <v>72</v>
      </c>
    </row>
    <row r="215" ht="13.5">
      <c r="A215" s="93" t="s">
        <v>73</v>
      </c>
    </row>
    <row r="216" ht="13.5">
      <c r="A216" s="93" t="s">
        <v>74</v>
      </c>
    </row>
    <row r="217" ht="13.5">
      <c r="A217" s="93" t="s">
        <v>75</v>
      </c>
    </row>
    <row r="218" ht="13.5">
      <c r="A218" s="93" t="s">
        <v>76</v>
      </c>
    </row>
    <row r="219" ht="13.5">
      <c r="A219" s="93" t="s">
        <v>77</v>
      </c>
    </row>
    <row r="220" ht="13.5">
      <c r="A220" s="93" t="s">
        <v>78</v>
      </c>
    </row>
    <row r="221" ht="13.5">
      <c r="A221" s="93" t="s">
        <v>79</v>
      </c>
    </row>
    <row r="222" ht="13.5">
      <c r="A222" s="93" t="s">
        <v>80</v>
      </c>
    </row>
    <row r="223" ht="13.5">
      <c r="A223" s="93" t="s">
        <v>328</v>
      </c>
    </row>
    <row r="224" ht="13.5">
      <c r="A224" s="93" t="s">
        <v>81</v>
      </c>
    </row>
    <row r="225" ht="13.5">
      <c r="A225" s="93" t="s">
        <v>73</v>
      </c>
    </row>
    <row r="226" ht="13.5">
      <c r="A226" s="93" t="s">
        <v>82</v>
      </c>
    </row>
    <row r="227" ht="13.5">
      <c r="A227" s="93" t="s">
        <v>75</v>
      </c>
    </row>
    <row r="228" ht="13.5">
      <c r="A228" s="93" t="s">
        <v>83</v>
      </c>
    </row>
    <row r="229" ht="13.5">
      <c r="A229" s="93" t="s">
        <v>77</v>
      </c>
    </row>
    <row r="230" ht="13.5">
      <c r="A230" s="93" t="s">
        <v>84</v>
      </c>
    </row>
    <row r="231" spans="1:2" ht="13.5">
      <c r="A231" s="93" t="s">
        <v>79</v>
      </c>
      <c r="B231" s="69" t="s">
        <v>491</v>
      </c>
    </row>
    <row r="232" spans="1:3" ht="13.5">
      <c r="A232" s="93" t="s">
        <v>140</v>
      </c>
      <c r="C232" s="69" t="s">
        <v>492</v>
      </c>
    </row>
    <row r="233" ht="13.5">
      <c r="A233" s="93" t="s">
        <v>328</v>
      </c>
    </row>
    <row r="234" ht="12.75">
      <c r="A234" t="str">
        <f>CONCATENATE('NIDS Opticall table'!$B$19,"=",'NIDS Opticall table'!$C$19)</f>
        <v>CA_SIDE_A_HN=prica</v>
      </c>
    </row>
    <row r="235" ht="13.5" customHeight="1">
      <c r="A235" t="str">
        <f>CONCATENATE('NIDS Opticall table'!$B$20,"=",'NIDS Opticall table'!$C$20)</f>
        <v>CA_SIDE_B_HN=secca</v>
      </c>
    </row>
    <row r="236" ht="13.5" customHeight="1">
      <c r="A236"/>
    </row>
    <row r="237" ht="12.75">
      <c r="A237" t="str">
        <f>CONCATENATE('NIDS Opticall table'!$B$21,"=",'NIDS Opticall table'!$C$21)</f>
        <v>FSAIN_SIDE_A_HN=prica</v>
      </c>
    </row>
    <row r="238" ht="12.75">
      <c r="A238" t="str">
        <f>CONCATENATE('NIDS Opticall table'!$B$22,"=",'NIDS Opticall table'!$C$22)</f>
        <v>FSAIN_SIDE_B_HN=secca</v>
      </c>
    </row>
    <row r="239" ht="12.75">
      <c r="A239"/>
    </row>
    <row r="240" ht="12.75">
      <c r="A240" t="str">
        <f>CONCATENATE('NIDS Opticall table'!$B$23,"=",'NIDS Opticall table'!$C$23)</f>
        <v>FSPTC_SIDE_A_HN=prica</v>
      </c>
    </row>
    <row r="241" ht="12" customHeight="1">
      <c r="A241" t="str">
        <f>CONCATENATE('NIDS Opticall table'!$B$24,"=",'NIDS Opticall table'!$C$24)</f>
        <v>FSPTC_SIDE_B_HN=secca</v>
      </c>
    </row>
    <row r="242" ht="12" customHeight="1">
      <c r="A242"/>
    </row>
    <row r="243" ht="12.75">
      <c r="A243" t="str">
        <f>CONCATENATE('NIDS Opticall table'!$B$25,"=",'NIDS Opticall table'!$C$25)</f>
        <v>EMS_SIDE_A_HN=priems</v>
      </c>
    </row>
    <row r="244" ht="12" customHeight="1">
      <c r="A244" t="str">
        <f>CONCATENATE('NIDS Opticall table'!$B$26,"=",'NIDS Opticall table'!$C$26)</f>
        <v>EMS_SIDE_B_HN=secems</v>
      </c>
    </row>
    <row r="245" ht="12" customHeight="1">
      <c r="A245"/>
    </row>
    <row r="246" ht="13.5">
      <c r="A246" s="93" t="s">
        <v>327</v>
      </c>
    </row>
    <row r="247" ht="13.5">
      <c r="A247" s="93"/>
    </row>
    <row r="248" ht="13.5">
      <c r="A248" s="93"/>
    </row>
    <row r="249" ht="13.5">
      <c r="A249" s="93"/>
    </row>
    <row r="250" ht="13.5">
      <c r="A250" s="93" t="s">
        <v>85</v>
      </c>
    </row>
    <row r="251" ht="13.5">
      <c r="A251" s="93" t="s">
        <v>86</v>
      </c>
    </row>
    <row r="252" ht="13.5">
      <c r="A252" s="93" t="s">
        <v>328</v>
      </c>
    </row>
    <row r="253" ht="13.5">
      <c r="A253" s="93" t="s">
        <v>87</v>
      </c>
    </row>
    <row r="254" ht="13.5">
      <c r="A254" s="93" t="s">
        <v>141</v>
      </c>
    </row>
    <row r="255" ht="13.5">
      <c r="A255" s="93" t="s">
        <v>88</v>
      </c>
    </row>
    <row r="256" ht="13.5">
      <c r="A256" s="93"/>
    </row>
    <row r="257" ht="12.75">
      <c r="A257" t="str">
        <f>CONCATENATE('NIDS Opticall table'!$B$27,"=",'NIDS Opticall table'!$C$27)</f>
        <v>CA_INSTALLING_LIST="CA146"</v>
      </c>
    </row>
    <row r="258" ht="12.75">
      <c r="A258" t="str">
        <f>CONCATENATE('NIDS Opticall table'!$B$28,"=",'NIDS Opticall table'!$C$28)</f>
        <v>FSAIN_INSTALLING_LIST="FSAIN205"</v>
      </c>
    </row>
    <row r="259" ht="12.75">
      <c r="A259" t="str">
        <f>CONCATENATE('NIDS Opticall table'!$B$29,"=",'NIDS Opticall table'!$C$29)</f>
        <v>FSPTC_INSTALLING_LIST="FSPTC235"</v>
      </c>
    </row>
    <row r="260" ht="12.75">
      <c r="A260" t="str">
        <f>CONCATENATE('NIDS Opticall table'!$B$30,"=",'NIDS Opticall table'!$C$30)</f>
        <v>EMS_INSTALLING_LIST="EM01"</v>
      </c>
    </row>
    <row r="261" ht="12.75">
      <c r="A261" t="str">
        <f>CONCATENATE('NIDS Opticall table'!$B$31,"=",'NIDS Opticall table'!$C$31)</f>
        <v>BDMS_INSTALLING_LIST="BDMS01"</v>
      </c>
    </row>
    <row r="262" ht="13.5">
      <c r="A262" s="93"/>
    </row>
    <row r="263" ht="13.5">
      <c r="A263" s="93" t="s">
        <v>89</v>
      </c>
    </row>
    <row r="264" ht="13.5">
      <c r="A264" s="93" t="s">
        <v>85</v>
      </c>
    </row>
    <row r="265" ht="13.5">
      <c r="A265" s="93"/>
    </row>
    <row r="266" ht="13.5">
      <c r="A266" s="93"/>
    </row>
    <row r="267" ht="13.5">
      <c r="A267" s="93"/>
    </row>
    <row r="268" ht="13.5">
      <c r="A268" s="93" t="s">
        <v>90</v>
      </c>
    </row>
    <row r="269" ht="13.5">
      <c r="A269" s="93" t="s">
        <v>91</v>
      </c>
    </row>
    <row r="270" ht="13.5">
      <c r="A270" s="93" t="s">
        <v>328</v>
      </c>
    </row>
    <row r="271" ht="13.5">
      <c r="A271" s="93" t="s">
        <v>142</v>
      </c>
    </row>
    <row r="272" ht="13.5">
      <c r="A272" s="93" t="s">
        <v>143</v>
      </c>
    </row>
    <row r="273" ht="13.5">
      <c r="A273" s="93" t="s">
        <v>144</v>
      </c>
    </row>
    <row r="274" ht="13.5">
      <c r="A274" s="93" t="s">
        <v>92</v>
      </c>
    </row>
    <row r="275" ht="13.5">
      <c r="A275" s="93"/>
    </row>
    <row r="276" ht="12.75">
      <c r="A276" t="str">
        <f>CONCATENATE('NIDS Opticall table'!$B$32,"=",'NIDS Opticall table'!$C$32)</f>
        <v>DNS_FOR_CA_SIDE_A_RED=red-aMAIN_STCA.name.cisco.com</v>
      </c>
    </row>
    <row r="277" ht="12.75">
      <c r="A277" t="str">
        <f>CONCATENATE('NIDS Opticall table'!$B$33,"=",'NIDS Opticall table'!$C$33)</f>
        <v>DNS_FOR_CA_SIDE_B_RED=red-bMAIN_STCA.name.cisco.com</v>
      </c>
    </row>
    <row r="278" ht="12.75">
      <c r="A278"/>
    </row>
    <row r="279" ht="12.75">
      <c r="A279" t="str">
        <f>CONCATENATE('NIDS Opticall table'!$B$34,"=",'NIDS Opticall table'!$C$34)</f>
        <v>DNS_FOR_FSAIN_SIDE_A_RED=red-aMAIN_STAIN.name.cisco.com</v>
      </c>
    </row>
    <row r="280" ht="12.75">
      <c r="A280" t="str">
        <f>CONCATENATE('NIDS Opticall table'!$B$35,"=",'NIDS Opticall table'!$C$35)</f>
        <v>DNS_FOR_FSAIN_SIDE_B_RED=red-bMAIN_STAIN.name.cisco.com</v>
      </c>
    </row>
    <row r="281" ht="12.75">
      <c r="A281"/>
    </row>
    <row r="282" ht="12.75">
      <c r="A282" t="str">
        <f>CONCATENATE('NIDS Opticall table'!$B$36,"=",'NIDS Opticall table'!$C$36)</f>
        <v>DNS_FOR_FSPTC_SIDE_A_RED=red-aMAIN_STPTC.name.cisco.com</v>
      </c>
    </row>
    <row r="283" ht="12.75">
      <c r="A283" t="str">
        <f>CONCATENATE('NIDS Opticall table'!$B$37,"=",'NIDS Opticall table'!$C$37)</f>
        <v>DNS_FOR_FSPTC_SIDE_B_RED=red-bMAIN_STPTC.name.cisco.com</v>
      </c>
    </row>
    <row r="284" ht="12.75">
      <c r="A284"/>
    </row>
    <row r="285" ht="12.75">
      <c r="A285" t="str">
        <f>CONCATENATE('NIDS Opticall table'!$B$38,"=",'NIDS Opticall table'!$C$38)</f>
        <v>DNS_FOR_EMS_SIDE_A_RED=red-aMAIN_STEMS.name.cisco.com</v>
      </c>
    </row>
    <row r="286" ht="12.75">
      <c r="A286" t="str">
        <f>CONCATENATE('NIDS Opticall table'!$B$39,"=",'NIDS Opticall table'!$C$39)</f>
        <v>DNS_FOR_EMS_SIDE_B_RED=red-bMAIN_STEMS.name.cisco.com</v>
      </c>
    </row>
    <row r="287" ht="13.5">
      <c r="A287" s="93"/>
    </row>
    <row r="288" ht="13.5">
      <c r="A288" s="93" t="s">
        <v>93</v>
      </c>
    </row>
    <row r="289" ht="13.5">
      <c r="A289" s="93" t="s">
        <v>90</v>
      </c>
    </row>
    <row r="290" ht="13.5">
      <c r="A290" s="93"/>
    </row>
    <row r="291" ht="13.5">
      <c r="A291" s="93"/>
    </row>
    <row r="292" ht="13.5">
      <c r="A292" s="93"/>
    </row>
    <row r="293" ht="13.5">
      <c r="A293" s="93" t="s">
        <v>85</v>
      </c>
    </row>
    <row r="294" ht="13.5">
      <c r="A294" s="93" t="s">
        <v>94</v>
      </c>
    </row>
    <row r="295" ht="13.5">
      <c r="A295" s="93" t="s">
        <v>328</v>
      </c>
    </row>
    <row r="296" ht="13.5">
      <c r="A296" s="93" t="s">
        <v>145</v>
      </c>
    </row>
    <row r="297" ht="13.5">
      <c r="A297" s="93" t="s">
        <v>146</v>
      </c>
    </row>
    <row r="298" ht="13.5">
      <c r="A298" s="93" t="s">
        <v>95</v>
      </c>
    </row>
    <row r="299" ht="13.5">
      <c r="A299" s="93"/>
    </row>
    <row r="300" ht="12.75">
      <c r="A300" t="str">
        <f>CONCATENATE('NIDS Opticall table'!$B$40,"=",'NIDS Opticall table'!$C$40)</f>
        <v>DNS_FOR_CA_SIDE_A_BLG_COM=blg-aMAIN_STEMS.name.cisco.com</v>
      </c>
    </row>
    <row r="301" ht="12.75">
      <c r="A301" t="str">
        <f>CONCATENATE('NIDS Opticall table'!$B$41,"=",'NIDS Opticall table'!$C$41)</f>
        <v>DNS_FOR_CA_SIDE_B_BLG_COM=blg-bMAIN_STEMS.name.cisco.com</v>
      </c>
    </row>
    <row r="302" ht="13.5">
      <c r="A302" s="93"/>
    </row>
    <row r="303" ht="13.5">
      <c r="A303" s="93" t="s">
        <v>96</v>
      </c>
    </row>
    <row r="304" ht="13.5">
      <c r="A304" s="93" t="s">
        <v>97</v>
      </c>
    </row>
    <row r="305" ht="13.5">
      <c r="A305" s="93"/>
    </row>
    <row r="306" ht="12.75">
      <c r="A306" t="str">
        <f>CONCATENATE('NIDS Opticall table'!$B$42,"=",'NIDS Opticall table'!$C$42)</f>
        <v>DNS_FOR_CA_SIDE_A_BLG_LINK_MONITOR=blg-aMAIN_STCA.name.cisco.com</v>
      </c>
    </row>
    <row r="307" ht="12.75">
      <c r="A307" t="str">
        <f>CONCATENATE('NIDS Opticall table'!$B$43,"=",'NIDS Opticall table'!$C$43)</f>
        <v>DNS_FOR_CA_SIDE_B_BLG_LINK_MONITOR=blg-bMAIN_STCA.name.cisco.com</v>
      </c>
    </row>
    <row r="308" ht="13.5">
      <c r="A308" s="93"/>
    </row>
    <row r="309" ht="13.5">
      <c r="A309" s="93"/>
    </row>
    <row r="310" ht="12.75">
      <c r="A310"/>
    </row>
    <row r="311" ht="13.5">
      <c r="A311" s="93" t="s">
        <v>147</v>
      </c>
    </row>
    <row r="312" ht="13.5">
      <c r="A312" s="93" t="s">
        <v>105</v>
      </c>
    </row>
    <row r="313" ht="13.5">
      <c r="A313" s="93" t="s">
        <v>98</v>
      </c>
    </row>
    <row r="314" ht="13.5">
      <c r="A314" s="93" t="s">
        <v>148</v>
      </c>
    </row>
    <row r="315" ht="13.5">
      <c r="A315" s="93" t="s">
        <v>559</v>
      </c>
    </row>
    <row r="316" ht="13.5">
      <c r="A316" s="93" t="s">
        <v>99</v>
      </c>
    </row>
    <row r="317" ht="13.5">
      <c r="A317" s="93"/>
    </row>
    <row r="318" ht="12.75">
      <c r="A318" t="str">
        <f>CONCATENATE('NIDS Opticall table'!$B$45,"=",'NIDS Opticall table'!$C$45)</f>
        <v>DNS_FOR_CA146_MGA_COM=mgcp-MAIN_STCA146.name.cisco.com</v>
      </c>
    </row>
    <row r="319" ht="13.5">
      <c r="A319" s="93"/>
    </row>
    <row r="320" ht="13.5">
      <c r="A320" s="93"/>
    </row>
    <row r="321" ht="13.5">
      <c r="A321" s="93" t="s">
        <v>100</v>
      </c>
    </row>
    <row r="322" ht="13.5">
      <c r="A322" s="93" t="s">
        <v>101</v>
      </c>
    </row>
    <row r="323" ht="13.5">
      <c r="A323" s="93" t="s">
        <v>149</v>
      </c>
    </row>
    <row r="324" ht="13.5">
      <c r="A324" s="93" t="s">
        <v>102</v>
      </c>
    </row>
    <row r="325" ht="13.5">
      <c r="A325" s="93"/>
    </row>
    <row r="326" ht="12.75">
      <c r="A326" t="str">
        <f>CONCATENATE('NIDS Opticall table'!$B$46,"=",'NIDS Opticall table'!$C$46)</f>
        <v>DNS_FOR_CA_SIDE_A_CRIT_COM=crit-aMAIN_STCA.name.cisco.com</v>
      </c>
    </row>
    <row r="327" ht="12.75">
      <c r="A327" t="str">
        <f>CONCATENATE('NIDS Opticall table'!$B$47,"=",'NIDS Opticall table'!$C$47)</f>
        <v>DNS_FOR_CA_SIDE_B_CRIT_COM=crit-bMAIN_STCA.name.cisco.com</v>
      </c>
    </row>
    <row r="328" ht="13.5">
      <c r="A328" s="93"/>
    </row>
    <row r="329" ht="13.5">
      <c r="A329" s="93"/>
    </row>
    <row r="330" ht="13.5">
      <c r="A330" s="93" t="s">
        <v>150</v>
      </c>
    </row>
    <row r="331" ht="13.5">
      <c r="A331" s="93" t="s">
        <v>151</v>
      </c>
    </row>
    <row r="332" ht="13.5">
      <c r="A332" s="93" t="s">
        <v>103</v>
      </c>
    </row>
    <row r="333" ht="13.5">
      <c r="A333" s="93" t="s">
        <v>152</v>
      </c>
    </row>
    <row r="334" ht="13.5">
      <c r="A334" s="93" t="s">
        <v>153</v>
      </c>
    </row>
    <row r="335" ht="13.5">
      <c r="A335" s="93"/>
    </row>
    <row r="336" ht="12.75">
      <c r="A336" t="str">
        <f>CONCATENATE('NIDS Opticall table'!$B$48,"=",'NIDS Opticall table'!$C$48)</f>
        <v>DNS_FOR_CA_SIA_COM=sia-MAIN_STCA.name.cisco.com</v>
      </c>
    </row>
    <row r="337" ht="13.5">
      <c r="A337" s="93"/>
    </row>
    <row r="338" ht="13.5">
      <c r="A338" s="93"/>
    </row>
    <row r="339" ht="13.5">
      <c r="A339" s="93" t="s">
        <v>567</v>
      </c>
    </row>
    <row r="340" ht="13.5">
      <c r="A340" s="93" t="s">
        <v>566</v>
      </c>
    </row>
    <row r="341" ht="13.5">
      <c r="A341" s="93" t="s">
        <v>565</v>
      </c>
    </row>
    <row r="342" ht="13.5">
      <c r="A342" s="93" t="s">
        <v>563</v>
      </c>
    </row>
    <row r="343" ht="13.5">
      <c r="A343" s="93" t="s">
        <v>564</v>
      </c>
    </row>
    <row r="344" ht="13.5">
      <c r="A344" s="93"/>
    </row>
    <row r="345" ht="12.75">
      <c r="A345" t="str">
        <f>CONCATENATE('NIDS Opticall table'!$B$44,"=",'NIDS Opticall table'!$C$44)</f>
        <v>DNS_FOR_CA_MGCP_COM=sia-MAIN_STCA.name.cisco.com</v>
      </c>
    </row>
    <row r="346" ht="13.5">
      <c r="A346" s="93"/>
    </row>
    <row r="347" ht="13.5">
      <c r="A347" s="93"/>
    </row>
    <row r="348" ht="13.5">
      <c r="A348" s="93"/>
    </row>
    <row r="349" ht="13.5">
      <c r="A349" s="93" t="s">
        <v>154</v>
      </c>
    </row>
    <row r="350" ht="13.5">
      <c r="A350" s="93" t="s">
        <v>105</v>
      </c>
    </row>
    <row r="351" ht="13.5">
      <c r="A351" s="93" t="s">
        <v>98</v>
      </c>
    </row>
    <row r="352" ht="13.5">
      <c r="A352" s="93" t="s">
        <v>148</v>
      </c>
    </row>
    <row r="353" ht="13.5">
      <c r="A353" s="93" t="s">
        <v>559</v>
      </c>
    </row>
    <row r="354" ht="13.5">
      <c r="A354" s="93" t="s">
        <v>99</v>
      </c>
    </row>
    <row r="355" ht="13.5">
      <c r="A355" s="93"/>
    </row>
    <row r="356" ht="12.75">
      <c r="A356" t="str">
        <f>CONCATENATE('NIDS Opticall table'!$B$49,"=",'NIDS Opticall table'!$C$49)</f>
        <v>DNS_FOR_CA146_SIA_COM=sia-MAIN_STCA146.name.cisco.com</v>
      </c>
    </row>
    <row r="357" ht="13.5">
      <c r="A357" s="93"/>
    </row>
    <row r="358" ht="13.5">
      <c r="A358" s="93"/>
    </row>
    <row r="359" ht="13.5">
      <c r="A359" s="93" t="s">
        <v>104</v>
      </c>
    </row>
    <row r="360" ht="13.5">
      <c r="A360" s="93" t="s">
        <v>105</v>
      </c>
    </row>
    <row r="361" ht="13.5">
      <c r="A361" s="93" t="s">
        <v>493</v>
      </c>
    </row>
    <row r="362" ht="13.5">
      <c r="A362" s="93" t="s">
        <v>148</v>
      </c>
    </row>
    <row r="363" ht="13.5">
      <c r="A363" s="93" t="s">
        <v>559</v>
      </c>
    </row>
    <row r="364" ht="13.5">
      <c r="A364" s="93" t="s">
        <v>99</v>
      </c>
    </row>
    <row r="365" ht="13.5">
      <c r="A365" s="93"/>
    </row>
    <row r="366" ht="12.75">
      <c r="A366" t="str">
        <f>CONCATENATE('NIDS Opticall table'!$B$50,"=",'NIDS Opticall table'!$C$50)</f>
        <v>DNS_FOR_CA146_H3A_COM=h3a-MAIN_STCA146.name.cisco.com</v>
      </c>
    </row>
    <row r="367" ht="13.5">
      <c r="A367" s="93"/>
    </row>
    <row r="368" ht="13.5">
      <c r="A368" s="93"/>
    </row>
    <row r="369" ht="13.5">
      <c r="A369" s="93" t="s">
        <v>155</v>
      </c>
    </row>
    <row r="370" ht="13.5">
      <c r="A370" s="93" t="s">
        <v>156</v>
      </c>
    </row>
    <row r="371" ht="13.5">
      <c r="A371" s="93" t="s">
        <v>460</v>
      </c>
    </row>
    <row r="372" ht="13.5">
      <c r="A372" s="93" t="s">
        <v>494</v>
      </c>
    </row>
    <row r="373" ht="13.5">
      <c r="A373" s="93" t="s">
        <v>560</v>
      </c>
    </row>
    <row r="374" ht="13.5">
      <c r="A374" s="93" t="s">
        <v>495</v>
      </c>
    </row>
    <row r="375" ht="13.5">
      <c r="A375" s="93" t="s">
        <v>496</v>
      </c>
    </row>
    <row r="376" ht="13.5">
      <c r="A376" s="93" t="s">
        <v>497</v>
      </c>
    </row>
    <row r="377" ht="13.5">
      <c r="A377" s="93"/>
    </row>
    <row r="378" ht="12.75">
      <c r="A378" t="str">
        <f>CONCATENATE('NIDS Opticall table'!$B$51,"=",'NIDS Opticall table'!$C$51)</f>
        <v>DNS_FOR_CA146_SIM_COM=sim-MAIN_STCA146.name.cisco.com</v>
      </c>
    </row>
    <row r="379" ht="13.5">
      <c r="A379" s="93"/>
    </row>
    <row r="380" ht="13.5">
      <c r="A380" s="93"/>
    </row>
    <row r="381" ht="13.5">
      <c r="A381" s="93" t="s">
        <v>157</v>
      </c>
    </row>
    <row r="382" ht="13.5">
      <c r="A382" s="93" t="s">
        <v>156</v>
      </c>
    </row>
    <row r="383" ht="13.5">
      <c r="A383" s="93" t="s">
        <v>106</v>
      </c>
    </row>
    <row r="384" ht="13.5">
      <c r="A384" s="93"/>
    </row>
    <row r="385" ht="12.75">
      <c r="A385" t="str">
        <f>CONCATENATE('NIDS Opticall table'!$B$52,"=",'NIDS Opticall table'!$C$52)</f>
        <v>DNS_FOR_CA_SIDE_A_ANM_COM=anm-aMAIN_STCA.name.cisco.com</v>
      </c>
    </row>
    <row r="386" ht="12.75">
      <c r="A386" t="str">
        <f>CONCATENATE('NIDS Opticall table'!$B$53,"=",'NIDS Opticall table'!$C$53)</f>
        <v>DNS_FOR_CA_SIDE_B_ANM_COM=anm-bMAIN_STCA.name.cisco.com</v>
      </c>
    </row>
    <row r="387" ht="13.5">
      <c r="A387" s="93"/>
    </row>
    <row r="388" ht="13.5">
      <c r="A388" s="93"/>
    </row>
    <row r="389" ht="13.5">
      <c r="A389" s="93"/>
    </row>
    <row r="390" ht="13.5">
      <c r="A390" s="93" t="s">
        <v>158</v>
      </c>
    </row>
    <row r="391" ht="13.5">
      <c r="A391" s="93" t="s">
        <v>159</v>
      </c>
    </row>
    <row r="392" ht="13.5">
      <c r="A392" s="93" t="s">
        <v>107</v>
      </c>
    </row>
    <row r="393" ht="13.5">
      <c r="A393" s="93" t="s">
        <v>108</v>
      </c>
    </row>
    <row r="394" ht="13.5">
      <c r="A394" s="93"/>
    </row>
    <row r="395" ht="12.75">
      <c r="A395" t="str">
        <f>CONCATENATE('NIDS Opticall table'!$B$54,"=",'NIDS Opticall table'!$C$54)</f>
        <v>DNS_FOR_CA_SIDE_A_SGA_COM=sga-aMAIN_STCA.name.cisco.com</v>
      </c>
    </row>
    <row r="396" ht="12.75">
      <c r="A396" t="str">
        <f>CONCATENATE('NIDS Opticall table'!$B$55,"=",'NIDS Opticall table'!$C$55)</f>
        <v>DNS_FOR_CA_SIDE_B_SGA_COM=sga-bMAIN_STCA.name.cisco.com</v>
      </c>
    </row>
    <row r="397" ht="13.5">
      <c r="A397" s="93"/>
    </row>
    <row r="398" ht="13.5">
      <c r="A398" s="93"/>
    </row>
    <row r="399" ht="13.5">
      <c r="A399" s="93"/>
    </row>
    <row r="400" ht="13.5">
      <c r="A400" s="93" t="s">
        <v>160</v>
      </c>
    </row>
    <row r="401" ht="13.5">
      <c r="A401" s="93" t="s">
        <v>161</v>
      </c>
    </row>
    <row r="402" ht="13.5">
      <c r="A402" s="93" t="s">
        <v>109</v>
      </c>
    </row>
    <row r="403" ht="13.5">
      <c r="A403" s="93"/>
    </row>
    <row r="404" ht="12.75">
      <c r="A404" t="str">
        <f>CONCATENATE('NIDS Opticall table'!$B$56,"=",'NIDS Opticall table'!$C$56)</f>
        <v>DNS_FOR_CA_SIDE_A_1_BSM_COM=bsm-a1MAIN_STCA.name.cisco.com</v>
      </c>
    </row>
    <row r="405" ht="12.75">
      <c r="A405" t="str">
        <f>CONCATENATE('NIDS Opticall table'!$B$57,"=",'NIDS Opticall table'!$C$57)</f>
        <v>DNS_FOR_CA_SIDE_A_2_BSM_COM=bsm-a2MAIN_STCA.name.cisco.com</v>
      </c>
    </row>
    <row r="406" ht="12.75">
      <c r="A406" t="str">
        <f>CONCATENATE('NIDS Opticall table'!$B$58,"=",'NIDS Opticall table'!$C$58)</f>
        <v>DNS_FOR_CA_SIDE_B_1_BSM_COM=bsm-b1MAIN_STCA.name.cisco.com</v>
      </c>
    </row>
    <row r="407" ht="12.75">
      <c r="A407" t="str">
        <f>CONCATENATE('NIDS Opticall table'!$B$59,"=",'NIDS Opticall table'!$C$59)</f>
        <v>DNS_FOR_CA_SIDE_B_2_BSM_COM=bsm-b2MAIN_STCA.name.cisco.com</v>
      </c>
    </row>
    <row r="408" ht="13.5">
      <c r="A408" s="93"/>
    </row>
    <row r="409" ht="13.5">
      <c r="A409" s="93" t="s">
        <v>110</v>
      </c>
    </row>
    <row r="410" ht="13.5">
      <c r="A410" s="93" t="s">
        <v>85</v>
      </c>
    </row>
    <row r="411" ht="13.5">
      <c r="A411" s="93"/>
    </row>
    <row r="412" ht="13.5">
      <c r="A412" s="93"/>
    </row>
    <row r="413" ht="13.5">
      <c r="A413" s="93"/>
    </row>
    <row r="414" ht="13.5">
      <c r="A414" s="93" t="s">
        <v>111</v>
      </c>
    </row>
    <row r="415" ht="13.5">
      <c r="A415" s="93" t="s">
        <v>112</v>
      </c>
    </row>
    <row r="416" ht="13.5">
      <c r="A416" s="93" t="s">
        <v>328</v>
      </c>
    </row>
    <row r="417" ht="13.5">
      <c r="A417" s="93" t="s">
        <v>162</v>
      </c>
    </row>
    <row r="418" ht="13.5">
      <c r="A418" s="93" t="s">
        <v>163</v>
      </c>
    </row>
    <row r="419" ht="13.5">
      <c r="A419" s="93" t="s">
        <v>498</v>
      </c>
    </row>
    <row r="420" ht="13.5">
      <c r="A420" s="93" t="s">
        <v>499</v>
      </c>
    </row>
    <row r="421" ht="13.5">
      <c r="A421" s="93" t="s">
        <v>500</v>
      </c>
    </row>
    <row r="422" ht="13.5">
      <c r="A422" s="93" t="s">
        <v>561</v>
      </c>
    </row>
    <row r="423" ht="13.5">
      <c r="A423" s="93" t="s">
        <v>501</v>
      </c>
    </row>
    <row r="424" ht="13.5">
      <c r="A424" s="93" t="s">
        <v>502</v>
      </c>
    </row>
    <row r="425" ht="13.5">
      <c r="A425" s="93" t="s">
        <v>503</v>
      </c>
    </row>
    <row r="426" ht="13.5">
      <c r="A426" s="93"/>
    </row>
    <row r="427" ht="12.75">
      <c r="A427" t="str">
        <f>CONCATENATE('NIDS Opticall table'!$B$60,"=",'NIDS Opticall table'!$C$60)</f>
        <v>DNS_FOR_FSAIN205_ASM_COM=asm-MAIN_STAIN205.name.cisco.com</v>
      </c>
    </row>
    <row r="428" ht="13.5">
      <c r="A428" s="93"/>
    </row>
    <row r="429" ht="13.5">
      <c r="A429" s="93"/>
    </row>
    <row r="430" ht="13.5">
      <c r="A430" s="93" t="s">
        <v>100</v>
      </c>
    </row>
    <row r="431" ht="13.5">
      <c r="A431" s="93" t="s">
        <v>101</v>
      </c>
    </row>
    <row r="432" ht="13.5">
      <c r="A432" s="93" t="s">
        <v>149</v>
      </c>
    </row>
    <row r="433" ht="13.5">
      <c r="A433" s="93" t="s">
        <v>113</v>
      </c>
    </row>
    <row r="434" ht="13.5">
      <c r="A434" s="93"/>
    </row>
    <row r="435" ht="12.75">
      <c r="A435" t="str">
        <f>CONCATENATE('NIDS Opticall table'!$B$61,"=",'NIDS Opticall table'!$C$61)</f>
        <v>DNS_FOR_FSAIN_SIDE_A_CRIT_COM=crit-aMAIN_STAIN.name.cisco.com</v>
      </c>
    </row>
    <row r="436" ht="12.75">
      <c r="A436" t="str">
        <f>CONCATENATE('NIDS Opticall table'!$B$62,"=",'NIDS Opticall table'!$C$62)</f>
        <v>DNS_FOR_FSAIN_SIDE_B_CRIT_COM=crit-bMAIN_STAIN.name.cisco.com</v>
      </c>
    </row>
    <row r="437" ht="13.5">
      <c r="A437" s="93"/>
    </row>
    <row r="438" ht="13.5">
      <c r="A438" s="93"/>
    </row>
    <row r="439" ht="13.5">
      <c r="A439" s="93" t="s">
        <v>114</v>
      </c>
    </row>
    <row r="440" ht="13.5">
      <c r="A440" s="93" t="s">
        <v>164</v>
      </c>
    </row>
    <row r="441" ht="13.5">
      <c r="A441" s="93" t="s">
        <v>115</v>
      </c>
    </row>
    <row r="442" ht="13.5">
      <c r="A442" s="93"/>
    </row>
    <row r="443" ht="12.75">
      <c r="A443" t="str">
        <f>CONCATENATE('NIDS Opticall table'!$B$63,"=",'NIDS Opticall table'!$C$63)</f>
        <v>DNS_FOR_FSAIN_SIDE_A_SGW_COM=sgw-aMAIN_STAIN.name.cisco.com</v>
      </c>
    </row>
    <row r="444" ht="12.75">
      <c r="A444" t="str">
        <f>CONCATENATE('NIDS Opticall table'!$B$64,"=",'NIDS Opticall table'!$C$64)</f>
        <v>DNS_FOR_FSAIN_SIDE_B_SGW_COM=sgw-bMAIN_STAIN.name.cisco.com</v>
      </c>
    </row>
    <row r="445" ht="13.5">
      <c r="A445" s="93"/>
    </row>
    <row r="446" ht="13.5">
      <c r="A446" s="93" t="s">
        <v>116</v>
      </c>
    </row>
    <row r="447" ht="13.5">
      <c r="A447" s="93" t="s">
        <v>111</v>
      </c>
    </row>
    <row r="448" ht="13.5">
      <c r="A448" s="93"/>
    </row>
    <row r="449" ht="13.5">
      <c r="A449" s="93"/>
    </row>
    <row r="450" ht="13.5">
      <c r="A450" s="93"/>
    </row>
    <row r="451" ht="13.5">
      <c r="A451" s="93" t="s">
        <v>90</v>
      </c>
    </row>
    <row r="452" ht="13.5">
      <c r="A452" s="93" t="s">
        <v>117</v>
      </c>
    </row>
    <row r="453" ht="13.5">
      <c r="A453" s="93" t="s">
        <v>328</v>
      </c>
    </row>
    <row r="454" ht="13.5">
      <c r="A454" s="93" t="s">
        <v>504</v>
      </c>
    </row>
    <row r="455" ht="13.5">
      <c r="A455" s="93" t="s">
        <v>505</v>
      </c>
    </row>
    <row r="456" ht="13.5">
      <c r="A456" s="93" t="s">
        <v>506</v>
      </c>
    </row>
    <row r="457" ht="13.5">
      <c r="A457" s="93" t="s">
        <v>507</v>
      </c>
    </row>
    <row r="458" ht="13.5">
      <c r="A458" s="93" t="s">
        <v>508</v>
      </c>
    </row>
    <row r="459" ht="13.5">
      <c r="A459" s="93" t="s">
        <v>562</v>
      </c>
    </row>
    <row r="460" ht="13.5">
      <c r="A460" s="93" t="s">
        <v>509</v>
      </c>
    </row>
    <row r="461" ht="13.5">
      <c r="A461" s="93" t="s">
        <v>510</v>
      </c>
    </row>
    <row r="462" ht="13.5">
      <c r="A462" s="93" t="s">
        <v>511</v>
      </c>
    </row>
    <row r="463" ht="13.5">
      <c r="A463" s="93"/>
    </row>
    <row r="464" ht="12.75">
      <c r="A464" t="str">
        <f>CONCATENATE('NIDS Opticall table'!$B$65,"=",'NIDS Opticall table'!$C$65)</f>
        <v>DNS_FOR_FSPTC235_POTS_COM=pots-MAIN_STPTC235.name.cisco.com</v>
      </c>
    </row>
    <row r="465" ht="13.5">
      <c r="A465" s="93"/>
    </row>
    <row r="466" ht="13.5">
      <c r="A466" s="93"/>
    </row>
    <row r="467" ht="13.5">
      <c r="A467" s="93" t="s">
        <v>100</v>
      </c>
    </row>
    <row r="468" ht="13.5">
      <c r="A468" s="93" t="s">
        <v>101</v>
      </c>
    </row>
    <row r="469" ht="13.5">
      <c r="A469" s="93" t="s">
        <v>149</v>
      </c>
    </row>
    <row r="470" ht="13.5">
      <c r="A470" s="93" t="s">
        <v>118</v>
      </c>
    </row>
    <row r="471" ht="13.5">
      <c r="A471" s="93"/>
    </row>
    <row r="472" ht="12.75">
      <c r="A472" t="str">
        <f>CONCATENATE('NIDS Opticall table'!$B$66,"=",'NIDS Opticall table'!$C$66)</f>
        <v>DNS_FOR_FSPTC_SIDE_A_CRIT_COM=crit-aMAIN_STPTC.name.cisco.com</v>
      </c>
    </row>
    <row r="473" ht="12.75">
      <c r="A473" t="str">
        <f>CONCATENATE('NIDS Opticall table'!$B$67,"=",'NIDS Opticall table'!$C$67)</f>
        <v>DNS_FOR_FSPTC_SIDE_B_CRIT_COM=crit-bMAIN_STPTC.name.cisco.com</v>
      </c>
    </row>
    <row r="474" ht="13.5">
      <c r="A474" s="93"/>
    </row>
    <row r="475" ht="13.5">
      <c r="A475" s="93"/>
    </row>
    <row r="476" ht="13.5">
      <c r="A476" s="93" t="s">
        <v>114</v>
      </c>
    </row>
    <row r="477" ht="13.5">
      <c r="A477" s="93" t="s">
        <v>165</v>
      </c>
    </row>
    <row r="478" ht="13.5">
      <c r="A478" s="93" t="s">
        <v>119</v>
      </c>
    </row>
    <row r="479" ht="13.5">
      <c r="A479" s="93"/>
    </row>
    <row r="480" ht="12.75">
      <c r="A480" t="str">
        <f>CONCATENATE('NIDS Opticall table'!$B$68,"=",'NIDS Opticall table'!$C$68)</f>
        <v>DNS_FOR_FSPTC_SIDE_A_SGW_COM=sgw-aMAIN_STPTC.name.cisco.com</v>
      </c>
    </row>
    <row r="481" ht="12.75">
      <c r="A481" t="str">
        <f>CONCATENATE('NIDS Opticall table'!$B$69,"=",'NIDS Opticall table'!$C$69)</f>
        <v>DNS_FOR_FSPTC_SIDE_B_SGW_COM=sgw-bMAIN_STPTC.name.cisco.com</v>
      </c>
    </row>
    <row r="482" ht="13.5">
      <c r="A482" s="93"/>
    </row>
    <row r="483" ht="13.5">
      <c r="A483" s="93" t="s">
        <v>120</v>
      </c>
    </row>
    <row r="484" ht="13.5">
      <c r="A484" s="93" t="s">
        <v>166</v>
      </c>
    </row>
    <row r="485" ht="13.5">
      <c r="A485" s="93" t="s">
        <v>167</v>
      </c>
    </row>
    <row r="486" ht="13.5">
      <c r="A486" s="93" t="s">
        <v>121</v>
      </c>
    </row>
    <row r="487" ht="13.5">
      <c r="A487" s="93"/>
    </row>
    <row r="488" ht="12.75">
      <c r="A488" t="str">
        <f>CONCATENATE('NIDS Opticall table'!$B$70,"=",'NIDS Opticall table'!$C$70)</f>
        <v>DNS_FOR_FSPTC235_GFS_COM=gfs-MAIN_STPTC235.name.cisco.com</v>
      </c>
    </row>
    <row r="489" ht="13.5">
      <c r="A489" s="93"/>
    </row>
    <row r="490" ht="13.5">
      <c r="A490" s="93"/>
    </row>
    <row r="491" ht="13.5">
      <c r="A491" s="93" t="s">
        <v>169</v>
      </c>
    </row>
    <row r="492" ht="13.5">
      <c r="A492" s="93" t="s">
        <v>90</v>
      </c>
    </row>
    <row r="493" ht="13.5">
      <c r="A493" s="93"/>
    </row>
    <row r="494" ht="13.5">
      <c r="A494" s="93"/>
    </row>
    <row r="495" ht="13.5">
      <c r="A495" s="93"/>
    </row>
    <row r="496" ht="13.5">
      <c r="A496" s="93" t="s">
        <v>85</v>
      </c>
    </row>
    <row r="497" ht="13.5">
      <c r="A497" s="93" t="s">
        <v>170</v>
      </c>
    </row>
    <row r="498" ht="13.5">
      <c r="A498" s="93" t="s">
        <v>328</v>
      </c>
    </row>
    <row r="499" ht="13.5">
      <c r="A499" s="93" t="s">
        <v>100</v>
      </c>
    </row>
    <row r="500" ht="13.5">
      <c r="A500" s="93" t="s">
        <v>101</v>
      </c>
    </row>
    <row r="501" ht="13.5">
      <c r="A501" s="93" t="s">
        <v>149</v>
      </c>
    </row>
    <row r="502" ht="13.5">
      <c r="A502" s="93" t="s">
        <v>171</v>
      </c>
    </row>
    <row r="503" ht="13.5">
      <c r="A503" s="93"/>
    </row>
    <row r="504" ht="12.75">
      <c r="A504" t="str">
        <f>CONCATENATE('NIDS Opticall table'!$B$71,"=",'NIDS Opticall table'!$C$71)</f>
        <v>DNS_FOR_EMS_SIDE_A_CRIT_COM=crit-aMAIN_STEMS.name.cisco.com</v>
      </c>
    </row>
    <row r="505" ht="12.75">
      <c r="A505" t="str">
        <f>CONCATENATE('NIDS Opticall table'!$B$72,"=",'NIDS Opticall table'!$C$72)</f>
        <v>DNS_FOR_EMS_SIDE_B_CRIT_COM=crit-bMAIN_STEMS.name.cisco.com</v>
      </c>
    </row>
    <row r="506" ht="13.5">
      <c r="A506" s="93"/>
    </row>
    <row r="507" ht="13.5">
      <c r="A507" s="93"/>
    </row>
    <row r="508" ht="13.5">
      <c r="A508" s="93" t="s">
        <v>172</v>
      </c>
    </row>
    <row r="509" ht="13.5">
      <c r="A509" s="93" t="s">
        <v>512</v>
      </c>
    </row>
    <row r="510" ht="13.5">
      <c r="A510" s="93" t="s">
        <v>513</v>
      </c>
    </row>
    <row r="511" ht="13.5">
      <c r="A511" s="93" t="s">
        <v>514</v>
      </c>
    </row>
    <row r="512" ht="13.5">
      <c r="A512" s="93" t="s">
        <v>515</v>
      </c>
    </row>
    <row r="513" ht="13.5">
      <c r="A513" s="93"/>
    </row>
    <row r="514" ht="12.75">
      <c r="A514" t="str">
        <f>CONCATENATE('NIDS Opticall table'!$B$73,"=",'NIDS Opticall table'!$C$73)</f>
        <v>DNS_FOR_CA_SIDE_A_OMS_SLAVE_HUB=oms-aMAIN_STCA.name.cisco.com</v>
      </c>
    </row>
    <row r="515" ht="12.75">
      <c r="A515" t="str">
        <f>CONCATENATE('NIDS Opticall table'!$B$74,"=",'NIDS Opticall table'!$C$74)</f>
        <v>DNS_FOR_CA_SIDE_B_OMS_SLAVE_HUB=oms-bMAIN_STCA.name.cisco.com</v>
      </c>
    </row>
    <row r="516" ht="12.75">
      <c r="A516"/>
    </row>
    <row r="517" ht="12.75">
      <c r="A517" t="str">
        <f>CONCATENATE('NIDS Opticall table'!$B$75,"=",'NIDS Opticall table'!$C$75)</f>
        <v>DNS_FOR_FSAIN_SIDE_A_OMS_SLAVE_HUB=oms-aMAIN_STAIN.name.cisco.com</v>
      </c>
    </row>
    <row r="518" ht="12.75">
      <c r="A518" t="str">
        <f>CONCATENATE('NIDS Opticall table'!$B$76,"=",'NIDS Opticall table'!$C$76)</f>
        <v>DNS_FOR_FSAIN_SIDE_B_OMS_SLAVE_HUB=oms-bMAIN_STAIN.name.cisco.com</v>
      </c>
    </row>
    <row r="519" ht="12.75">
      <c r="A519"/>
    </row>
    <row r="520" ht="12.75">
      <c r="A520" t="str">
        <f>CONCATENATE('NIDS Opticall table'!$B$77,"=",'NIDS Opticall table'!$C$77)</f>
        <v>DNS_FOR_FSPTC_SIDE_A_OMS_SLAVE_HUB=oms-aMAIN_STPTC.name.cisco.com</v>
      </c>
    </row>
    <row r="521" ht="12.75">
      <c r="A521" t="str">
        <f>CONCATENATE('NIDS Opticall table'!$B$78,"=",'NIDS Opticall table'!$C$78)</f>
        <v>DNS_FOR_FSPTC_SIDE_B_OMS_SLAVE_HUB=oms-bMAIN_STPTC.name.cisco.com</v>
      </c>
    </row>
    <row r="522" ht="12.75">
      <c r="A522"/>
    </row>
    <row r="523" ht="12.75">
      <c r="A523" t="str">
        <f>CONCATENATE('NIDS Opticall table'!$B$79,"=",'NIDS Opticall table'!$C$79)</f>
        <v>DNS_FOR_EMS_SIDE_A_OMS_SLAVE_HUB=oms-aMAIN_STEMS.name.cisco.com</v>
      </c>
    </row>
    <row r="524" ht="12.75">
      <c r="A524" t="str">
        <f>CONCATENATE('NIDS Opticall table'!$B$80,"=",'NIDS Opticall table'!$C$80)</f>
        <v>DNS_FOR_EMS_SIDE_B_OMS_SLAVE_HUB=oms-bMAIN_STEMS.name.cisco.com</v>
      </c>
    </row>
    <row r="525" ht="13.5">
      <c r="A525" s="93"/>
    </row>
    <row r="526" ht="13.5">
      <c r="A526" s="92" t="s">
        <v>519</v>
      </c>
    </row>
    <row r="527" ht="13.5">
      <c r="A527" s="92" t="s">
        <v>520</v>
      </c>
    </row>
    <row r="528" ht="13.5">
      <c r="A528" s="92" t="s">
        <v>521</v>
      </c>
    </row>
    <row r="529" ht="13.5">
      <c r="A529" s="92" t="s">
        <v>522</v>
      </c>
    </row>
    <row r="530" ht="13.5">
      <c r="A530" s="92" t="s">
        <v>523</v>
      </c>
    </row>
    <row r="531" ht="13.5">
      <c r="A531" s="92" t="s">
        <v>538</v>
      </c>
    </row>
    <row r="532" ht="13.5">
      <c r="A532" s="92" t="s">
        <v>524</v>
      </c>
    </row>
    <row r="533" ht="13.5">
      <c r="A533" s="92" t="s">
        <v>328</v>
      </c>
    </row>
    <row r="534" ht="13.5">
      <c r="A534" s="93"/>
    </row>
    <row r="535" ht="12.75">
      <c r="A535" t="str">
        <f>CONCATENATE('NIDS Opticall table'!$B$81,"=",'NIDS Opticall table'!$C$81)</f>
        <v>CA146_LAF_PARAMETER="logStorage /archive/BTS1-CA 20"</v>
      </c>
    </row>
    <row r="536" ht="12.75">
      <c r="A536" t="str">
        <f>CONCATENATE('NIDS Opticall table'!$B$82,"=",'NIDS Opticall table'!$C$82)</f>
        <v>FSPTC235_LAF_PARAMETER="logStorage /archive/BTS1-FSPTC 20"</v>
      </c>
    </row>
    <row r="537" ht="12.75">
      <c r="A537" t="str">
        <f>CONCATENATE('NIDS Opticall table'!$B$83,"=",'NIDS Opticall table'!$C$83)</f>
        <v>FSAIN205_LAF_PARAMETER="logStorage /archive/BTS1-FSAIN 20"</v>
      </c>
    </row>
    <row r="538" ht="12.75">
      <c r="A538" t="str">
        <f>CONCATENATE('NIDS Opticall table'!$B$84,"=",'NIDS Opticall table'!$C$84)</f>
        <v>EMS_LAF_PARAMETER="logStorage /archive/BTS1-EMS 20"</v>
      </c>
    </row>
    <row r="539" ht="12.75">
      <c r="A539" t="str">
        <f>CONCATENATE('NIDS Opticall table'!$B$85,"=",'NIDS Opticall table'!$C$85)</f>
        <v>BDMS_LAF_PARAMETER="logStorage /archive/BTS1-BDMS 20"</v>
      </c>
    </row>
    <row r="540" ht="13.5">
      <c r="A540" s="93"/>
    </row>
    <row r="541" ht="13.5">
      <c r="A541" s="93"/>
    </row>
    <row r="542" ht="13.5">
      <c r="A542" s="93" t="s">
        <v>173</v>
      </c>
    </row>
    <row r="543" ht="13.5">
      <c r="A543" s="93" t="s">
        <v>85</v>
      </c>
    </row>
    <row r="544" ht="13.5">
      <c r="A544" s="93"/>
    </row>
    <row r="545" ht="13.5">
      <c r="A545" s="93"/>
    </row>
    <row r="546" ht="13.5">
      <c r="A546" s="93" t="s">
        <v>327</v>
      </c>
    </row>
    <row r="547" ht="13.5">
      <c r="A547" s="93" t="s">
        <v>385</v>
      </c>
    </row>
    <row r="548" ht="13.5">
      <c r="A548" s="93" t="s">
        <v>386</v>
      </c>
    </row>
    <row r="549" ht="13.5">
      <c r="A549" s="93" t="s">
        <v>385</v>
      </c>
    </row>
    <row r="550" ht="13.5">
      <c r="A550" s="93" t="s">
        <v>327</v>
      </c>
    </row>
    <row r="551" ht="13.5">
      <c r="A551" s="93"/>
    </row>
    <row r="552" ht="13.5">
      <c r="A552" s="93" t="s">
        <v>168</v>
      </c>
    </row>
    <row r="553" ht="13.5">
      <c r="A553" s="93"/>
    </row>
    <row r="554" ht="13.5">
      <c r="A554" s="93" t="s">
        <v>0</v>
      </c>
    </row>
    <row r="555" ht="13.5">
      <c r="A555" s="93" t="s">
        <v>461</v>
      </c>
    </row>
    <row r="556" ht="13.5">
      <c r="A556" s="93" t="s">
        <v>462</v>
      </c>
    </row>
    <row r="557" ht="13.5">
      <c r="A557" s="93" t="s">
        <v>463</v>
      </c>
    </row>
    <row r="558" ht="13.5">
      <c r="A558" s="93"/>
    </row>
    <row r="559" ht="13.5">
      <c r="A559" s="93" t="s">
        <v>374</v>
      </c>
    </row>
    <row r="560" ht="13.5">
      <c r="A560" s="93" t="s">
        <v>464</v>
      </c>
    </row>
    <row r="561" ht="13.5">
      <c r="A561" s="130" t="s">
        <v>1</v>
      </c>
    </row>
    <row r="562" ht="13.5">
      <c r="A562" s="93" t="s">
        <v>2</v>
      </c>
    </row>
    <row r="563" ht="13.5">
      <c r="A563" s="131" t="s">
        <v>374</v>
      </c>
    </row>
    <row r="564" ht="13.5">
      <c r="A564" s="131"/>
    </row>
    <row r="565" ht="13.5">
      <c r="A565"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321</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226</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364</v>
      </c>
    </row>
    <row r="12" ht="13.5">
      <c r="A12" s="93" t="s">
        <v>322</v>
      </c>
    </row>
    <row r="13" ht="13.5">
      <c r="A13" s="93" t="s">
        <v>323</v>
      </c>
    </row>
    <row r="14" ht="13.5">
      <c r="A14" s="93" t="s">
        <v>324</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227</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228</v>
      </c>
    </row>
    <row r="24" ht="13.5">
      <c r="A24" s="93" t="s">
        <v>322</v>
      </c>
    </row>
    <row r="25" ht="13.5">
      <c r="A25" s="93" t="s">
        <v>323</v>
      </c>
    </row>
    <row r="26" ht="13.5">
      <c r="A26" s="93" t="s">
        <v>324</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325</v>
      </c>
    </row>
    <row r="32" ht="13.5">
      <c r="A32" s="93" t="str">
        <f>CONCATENATE("INTERNALN=",'NIDS Data Entry + Netwk tables'!$C$35)</f>
        <v>INTERNALN=10.10</v>
      </c>
    </row>
    <row r="33" ht="13.5">
      <c r="A33" s="93"/>
    </row>
    <row r="34" ht="13.5">
      <c r="A34" s="93" t="s">
        <v>326</v>
      </c>
    </row>
    <row r="35" ht="13.5">
      <c r="A35" s="93" t="str">
        <f>CONCATENATE("PRICA_EXTERN_ENDFIX=",'NIDS Data Entry + Netwk tables'!$G$69)</f>
        <v>PRICA_EXTERN_ENDFIX=12</v>
      </c>
    </row>
    <row r="36" ht="13.5">
      <c r="A36" s="93" t="str">
        <f>CONCATENATE("SECCA_EXTERN_ENDFIX=",'NIDS Data Entry + Netwk tables'!$G$70)</f>
        <v>SECCA_EXTERN_ENDFIX=13</v>
      </c>
    </row>
    <row r="37" ht="13.5">
      <c r="A37" s="93" t="str">
        <f>CONCATENATE("PRIEMS_EXTERN_ENDFIX=",'NIDS Data Entry + Netwk tables'!$G$67)</f>
        <v>PRIEMS_EXTERN_ENDFIX=10</v>
      </c>
    </row>
    <row r="38" ht="13.5">
      <c r="A38" s="93" t="str">
        <f>CONCATENATE("SECEMS_EXTERN_ENDFIX=",'NIDS Data Entry + Netwk tables'!$G$68)</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25"/>
  <sheetViews>
    <sheetView showGridLines="0" workbookViewId="0" topLeftCell="A96">
      <selection activeCell="A17" sqref="A17"/>
    </sheetView>
  </sheetViews>
  <sheetFormatPr defaultColWidth="9.140625" defaultRowHeight="12.75"/>
  <cols>
    <col min="1" max="1" width="98.8515625" style="69" bestFit="1" customWidth="1"/>
    <col min="2" max="16384" width="9.140625" style="69" hidden="1" customWidth="1"/>
  </cols>
  <sheetData>
    <row r="1" spans="1:2" ht="13.5">
      <c r="A1" s="93" t="s">
        <v>405</v>
      </c>
      <c r="B1" s="69">
        <f>LEN('NIDS Data Entry + Netwk tables'!C11)+LEN('NIDS Data Entry + Netwk tables'!C30)+10+5</f>
        <v>36</v>
      </c>
    </row>
    <row r="2" ht="13.5">
      <c r="A2" s="93" t="s">
        <v>406</v>
      </c>
    </row>
    <row r="3" ht="13.5">
      <c r="A3" s="93" t="str">
        <f>CONCATENATE("## Forward Cisco CNR DNS load file for BTS Installation:  ",'NIDS Data Entry + Netwk tables'!C11)</f>
        <v>## Forward Cisco CNR DNS load file for BTS Installation:  MAIN_ST</v>
      </c>
    </row>
    <row r="4" ht="13.5">
      <c r="A4" s="93" t="s">
        <v>406</v>
      </c>
    </row>
    <row r="5" ht="13.5">
      <c r="A5" s="93" t="s">
        <v>405</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broker-MAIN_ST A 10.89.225.254</v>
      </c>
    </row>
    <row r="16" ht="13.5">
      <c r="A16" s="93" t="str">
        <f>CONCATENATE("zone ",RIGHT('NIDS DNS table'!$B$16,LEN('NIDS DNS table'!$B$16)-FIND(".",'NIDS DNS table'!$B$16,1)),". addRR ",LEFT('NIDS DNS table'!$B$16,FIND(".",'NIDS DNS table'!$B$16,1)-1)," A ",'NIDS DNS table'!$C$17)</f>
        <v>zone name.cisco.com. addRR broker-MAIN_ST A 10.89.226.254</v>
      </c>
    </row>
    <row r="17" ht="13.5">
      <c r="A17" s="93" t="str">
        <f>CONCATENATE("zone ",RIGHT('NIDS DNS table'!$B$18,LEN('NIDS DNS table'!$B$18)-FIND(".",'NIDS DNS table'!$B$18,1)),". addRR ",LEFT('NIDS DNS table'!$B$18,FIND(".",'NIDS DNS table'!$B$18,1)-1)," A ",'NIDS DNS table'!$C$18)</f>
        <v>zone name.cisco.com. addRR brokerems-MAIN_ST A 10.89.223.254</v>
      </c>
    </row>
    <row r="18" ht="13.5">
      <c r="A18" s="93" t="str">
        <f>CONCATENATE("zone ",RIGHT('NIDS DNS table'!$B$18,LEN('NIDS DNS table'!$B$18)-FIND(".",'NIDS DNS table'!$B$18,1)),". addRR ",LEFT('NIDS DNS table'!$B$18,FIND(".",'NIDS DNS table'!$B$18,1)-1)," A ",'NIDS DNS table'!$C$19)</f>
        <v>zone name.cisco.com. addRR brokerems-MAIN_ST A 10.89.224.254</v>
      </c>
    </row>
    <row r="19" ht="13.5">
      <c r="A19" s="93" t="str">
        <f>CONCATENATE("zone ",RIGHT('NIDS DNS table'!$B$44,LEN('NIDS DNS table'!$B$44)-FIND(".",'NIDS DNS table'!$B$44,1)),". addRR ",LEFT('NIDS DNS table'!$B$44,FIND(".",'NIDS DNS table'!$B$44,1)-1)," A ",'NIDS DNS table'!$C$44)</f>
        <v>zone name.cisco.com. addRR sia-MAIN_STCA A 10.89.225.12</v>
      </c>
    </row>
    <row r="20" ht="13.5">
      <c r="A20" s="93" t="str">
        <f>CONCATENATE("zone ",RIGHT('NIDS DNS table'!$B$44,LEN('NIDS DNS table'!$B$44)-FIND(".",'NIDS DNS table'!$B$44,1)),". addRR ",LEFT('NIDS DNS table'!$B$44,FIND(".",'NIDS DNS table'!$B$44,1)-1)," A ",'NIDS DNS table'!$C$45)</f>
        <v>zone name.cisco.com. addRR sia-MAIN_STCA A 10.89.226.12</v>
      </c>
    </row>
    <row r="21" ht="13.5">
      <c r="A21" s="93" t="str">
        <f>CONCATENATE("zone ",RIGHT('NIDS DNS table'!$B$44,LEN('NIDS DNS table'!$B$44)-FIND(".",'NIDS DNS table'!$B$44,1)),". addRR ",LEFT('NIDS DNS table'!$B$44,FIND(".",'NIDS DNS table'!$B$44,1)-1)," A ",'NIDS DNS table'!$C$46)</f>
        <v>zone name.cisco.com. addRR sia-MAIN_STCA A 10.89.225.13</v>
      </c>
    </row>
    <row r="22" ht="13.5">
      <c r="A22" s="93" t="str">
        <f>CONCATENATE("zone ",RIGHT('NIDS DNS table'!$B$44,LEN('NIDS DNS table'!$B$44)-FIND(".",'NIDS DNS table'!$B$44,1)),". addRR ",LEFT('NIDS DNS table'!$B$44,FIND(".",'NIDS DNS table'!$B$44,1)-1)," A ",'NIDS DNS table'!$C$47)</f>
        <v>zone name.cisco.com. addRR sia-MAIN_STCA A 10.89.226.13</v>
      </c>
    </row>
    <row r="23" ht="13.5">
      <c r="A23" s="93" t="str">
        <f>CONCATENATE("zone ",RIGHT('NIDS DNS table'!$B$48,LEN('NIDS DNS table'!$B$48)-FIND(".",'NIDS DNS table'!$B$48,1)),". addRR ",LEFT('NIDS DNS table'!$B$48,FIND(".",'NIDS DNS table'!$B$48,1)-1)," A ",'NIDS DNS table'!$C$48)</f>
        <v>zone name.cisco.com. addRR mgcp-MAIN_STCA146 A 10.89.225.14</v>
      </c>
    </row>
    <row r="24" ht="13.5">
      <c r="A24" s="93" t="str">
        <f>CONCATENATE("zone ",RIGHT('NIDS DNS table'!$B$48,LEN('NIDS DNS table'!$B$48)-FIND(".",'NIDS DNS table'!$B$48,1)),". addRR ",LEFT('NIDS DNS table'!$B$48,FIND(".",'NIDS DNS table'!$B$48,1)-1)," A ",'NIDS DNS table'!$C$49)</f>
        <v>zone name.cisco.com. addRR mgcp-MAIN_STCA146 A 10.89.226.14</v>
      </c>
    </row>
    <row r="25" ht="13.5">
      <c r="A25" s="93" t="str">
        <f>CONCATENATE("zone ",RIGHT('NIDS DNS table'!$B$50,LEN('NIDS DNS table'!$B$50)-FIND(".",'NIDS DNS table'!$B$50,1)),". addRR ",LEFT('NIDS DNS table'!$B$50,FIND(".",'NIDS DNS table'!$B$50,1)-1)," A ",'NIDS DNS table'!$C$50)</f>
        <v>zone name.cisco.com. addRR crit-aMAIN_STCA A 10.89.225.12</v>
      </c>
    </row>
    <row r="26" ht="13.5">
      <c r="A26" s="93" t="str">
        <f>CONCATENATE("zone ",RIGHT('NIDS DNS table'!$B$50,LEN('NIDS DNS table'!$B$50)-FIND(".",'NIDS DNS table'!$B$50,1)),". addRR ",LEFT('NIDS DNS table'!$B$50,FIND(".",'NIDS DNS table'!$B$50,1)-1)," A ",'NIDS DNS table'!$C$51)</f>
        <v>zone name.cisco.com. addRR crit-aMAIN_STCA A 10.89.226.12</v>
      </c>
    </row>
    <row r="27" ht="13.5">
      <c r="A27" s="93" t="str">
        <f>CONCATENATE("zone ",RIGHT('NIDS DNS table'!$B$52,LEN('NIDS DNS table'!$B$52)-FIND(".",'NIDS DNS table'!$B$52,1)),". addRR ",LEFT('NIDS DNS table'!$B$52,FIND(".",'NIDS DNS table'!$B$52,1)-1)," A ",'NIDS DNS table'!$C$52)</f>
        <v>zone name.cisco.com. addRR crit-bMAIN_STCA A 10.89.225.13</v>
      </c>
    </row>
    <row r="28" ht="13.5">
      <c r="A28" s="93" t="str">
        <f>CONCATENATE("zone ",RIGHT('NIDS DNS table'!$B$52,LEN('NIDS DNS table'!$B$52)-FIND(".",'NIDS DNS table'!$B$52,1)),". addRR ",LEFT('NIDS DNS table'!$B$52,FIND(".",'NIDS DNS table'!$B$52,1)-1)," A ",'NIDS DNS table'!$C$53)</f>
        <v>zone name.cisco.com. addRR crit-bMAIN_STCA A 10.89.226.13</v>
      </c>
    </row>
    <row r="29" ht="13.5">
      <c r="A29" s="93" t="str">
        <f>CONCATENATE("zone ",RIGHT('NIDS DNS table'!$B$54,LEN('NIDS DNS table'!$B$54)-FIND(".",'NIDS DNS table'!$B$54,1)),". addRR ",LEFT('NIDS DNS table'!$B$54,FIND(".",'NIDS DNS table'!$B$54,1)-1)," A ",'NIDS DNS table'!$C$54)</f>
        <v>zone name.cisco.com. addRR sia-MAIN_STCA A 10.89.225.12</v>
      </c>
    </row>
    <row r="30" ht="13.5">
      <c r="A30" s="93" t="str">
        <f>CONCATENATE("zone ",RIGHT('NIDS DNS table'!$B$54,LEN('NIDS DNS table'!$B$54)-FIND(".",'NIDS DNS table'!$B$54,1)),". addRR ",LEFT('NIDS DNS table'!$B$54,FIND(".",'NIDS DNS table'!$B$54,1)-1)," A ",'NIDS DNS table'!$C$55)</f>
        <v>zone name.cisco.com. addRR sia-MAIN_STCA A 10.89.226.12</v>
      </c>
    </row>
    <row r="31" ht="13.5">
      <c r="A31" s="93" t="str">
        <f>CONCATENATE("zone ",RIGHT('NIDS DNS table'!$B$54,LEN('NIDS DNS table'!$B$54)-FIND(".",'NIDS DNS table'!$B$54,1)),". addRR ",LEFT('NIDS DNS table'!$B$54,FIND(".",'NIDS DNS table'!$B$54,1)-1)," A ",'NIDS DNS table'!$C$56)</f>
        <v>zone name.cisco.com. addRR sia-MAIN_STCA A 10.89.225.13</v>
      </c>
    </row>
    <row r="32" ht="13.5">
      <c r="A32" s="93" t="str">
        <f>CONCATENATE("zone ",RIGHT('NIDS DNS table'!$B$54,LEN('NIDS DNS table'!$B$54)-FIND(".",'NIDS DNS table'!$B$54,1)),". addRR ",LEFT('NIDS DNS table'!$B$54,FIND(".",'NIDS DNS table'!$B$54,1)-1)," A ",'NIDS DNS table'!$C$57)</f>
        <v>zone name.cisco.com. addRR sia-MAIN_STCA A 10.89.226.13</v>
      </c>
    </row>
    <row r="33" ht="13.5">
      <c r="A33" s="93" t="str">
        <f>CONCATENATE("zone ",RIGHT('NIDS DNS table'!$B$58,LEN('NIDS DNS table'!$B$58)-FIND(".",'NIDS DNS table'!$B$58,1)),". addRR ",LEFT('NIDS DNS table'!$B$58,FIND(".",'NIDS DNS table'!$B$58,1)-1)," A ",'NIDS DNS table'!$C$58)</f>
        <v>zone name.cisco.com. addRR sia-MAIN_STCA146 A 10.89.225.16</v>
      </c>
    </row>
    <row r="34" ht="13.5">
      <c r="A34" s="93" t="str">
        <f>CONCATENATE("zone ",RIGHT('NIDS DNS table'!$B$58,LEN('NIDS DNS table'!$B$58)-FIND(".",'NIDS DNS table'!$B$58,1)),". addRR ",LEFT('NIDS DNS table'!$B$58,FIND(".",'NIDS DNS table'!$B$58,1)-1)," A ",'NIDS DNS table'!$C$59)</f>
        <v>zone name.cisco.com. addRR sia-MAIN_STCA146 A 10.89.226.16</v>
      </c>
    </row>
    <row r="35" ht="13.5">
      <c r="A35" s="93" t="str">
        <f>CONCATENATE("zone ",RIGHT('NIDS DNS table'!$B$60,LEN('NIDS DNS table'!$B$60)-FIND(".",'NIDS DNS table'!$B$60,1)),". addRR ",LEFT('NIDS DNS table'!$B$60,FIND(".",'NIDS DNS table'!$B$60,1)-1)," A ",'NIDS DNS table'!$C$60)</f>
        <v>zone name.cisco.com. addRR h3a-MAIN_STCA146 A 10.89.225.17</v>
      </c>
    </row>
    <row r="36" ht="13.5">
      <c r="A36" s="93" t="str">
        <f>CONCATENATE("zone ",RIGHT('NIDS DNS table'!$B$60,LEN('NIDS DNS table'!$B$60)-FIND(".",'NIDS DNS table'!$B$60,1)),". addRR ",LEFT('NIDS DNS table'!$B$60,FIND(".",'NIDS DNS table'!$B$60,1)-1)," A ",'NIDS DNS table'!$C$61)</f>
        <v>zone name.cisco.com. addRR h3a-MAIN_STCA146 A 10.89.226.17</v>
      </c>
    </row>
    <row r="37" ht="13.5">
      <c r="A37" s="93" t="str">
        <f>CONCATENATE("zone ",RIGHT('NIDS DNS table'!$B$64,LEN('NIDS DNS table'!$B$64)-FIND(".",'NIDS DNS table'!$B$64,1)),". addRR ",LEFT('NIDS DNS table'!$B$64,FIND(".",'NIDS DNS table'!$B$64,1)-1)," A ",'NIDS DNS table'!$C$64)</f>
        <v>zone name.cisco.com. addRR anm-aMAIN_STCA A 10.89.225.12</v>
      </c>
    </row>
    <row r="38" ht="13.5">
      <c r="A38" s="93" t="str">
        <f>CONCATENATE("zone ",RIGHT('NIDS DNS table'!$B$64,LEN('NIDS DNS table'!$B$64)-FIND(".",'NIDS DNS table'!$B$64,1)),". addRR ",LEFT('NIDS DNS table'!$B$64,FIND(".",'NIDS DNS table'!$B$64,1)-1)," A ",'NIDS DNS table'!$C$65)</f>
        <v>zone name.cisco.com. addRR anm-aMAIN_STCA A 10.89.226.12</v>
      </c>
    </row>
    <row r="39" ht="13.5">
      <c r="A39" s="93" t="str">
        <f>CONCATENATE("zone ",RIGHT('NIDS DNS table'!$B$66,LEN('NIDS DNS table'!$B$66)-FIND(".",'NIDS DNS table'!$B$66,1)),". addRR ",LEFT('NIDS DNS table'!$B$66,FIND(".",'NIDS DNS table'!$B$66,1)-1)," A ",'NIDS DNS table'!$C$66)</f>
        <v>zone name.cisco.com. addRR anm-bMAIN_STCA A 10.89.225.13</v>
      </c>
    </row>
    <row r="40" ht="13.5">
      <c r="A40" s="93" t="str">
        <f>CONCATENATE("zone ",RIGHT('NIDS DNS table'!$B$66,LEN('NIDS DNS table'!$B$66)-FIND(".",'NIDS DNS table'!$B$66,1)),". addRR ",LEFT('NIDS DNS table'!$B$66,FIND(".",'NIDS DNS table'!$B$66,1)-1)," A ",'NIDS DNS table'!$C$67)</f>
        <v>zone name.cisco.com. addRR anm-bMAIN_STCA A 10.89.226.13</v>
      </c>
    </row>
    <row r="41" ht="13.5">
      <c r="A41" s="93" t="str">
        <f>CONCATENATE("zone ",RIGHT('NIDS DNS table'!$B$68,LEN('NIDS DNS table'!$B$68)-FIND(".",'NIDS DNS table'!$B$68,1)),". addRR ",LEFT('NIDS DNS table'!$B$68,FIND(".",'NIDS DNS table'!$B$68,1)-1)," A ",'NIDS DNS table'!$C$68)</f>
        <v>zone name.cisco.com. addRR sga-aMAIN_STCA A 10.89.225.12</v>
      </c>
    </row>
    <row r="42" ht="13.5">
      <c r="A42" s="93" t="str">
        <f>CONCATENATE("zone ",RIGHT('NIDS DNS table'!$B$68,LEN('NIDS DNS table'!$B$68)-FIND(".",'NIDS DNS table'!$B$68,1)),". addRR ",LEFT('NIDS DNS table'!$B$68,FIND(".",'NIDS DNS table'!$B$68,1)-1)," A ",'NIDS DNS table'!$C$69)</f>
        <v>zone name.cisco.com. addRR sga-aMAIN_STCA A 10.89.226.12</v>
      </c>
    </row>
    <row r="43" ht="13.5">
      <c r="A43" s="93" t="str">
        <f>CONCATENATE("zone ",RIGHT('NIDS DNS table'!$B$70,LEN('NIDS DNS table'!$B$70)-FIND(".",'NIDS DNS table'!$B$70,1)),". addRR ",LEFT('NIDS DNS table'!$B$70,FIND(".",'NIDS DNS table'!$B$70,1)-1)," A ",'NIDS DNS table'!$C$70)</f>
        <v>zone name.cisco.com. addRR sga-bMAIN_STCA A 10.89.225.13</v>
      </c>
    </row>
    <row r="44" ht="13.5">
      <c r="A44" s="93" t="str">
        <f>CONCATENATE("zone ",RIGHT('NIDS DNS table'!$B$70,LEN('NIDS DNS table'!$B$70)-FIND(".",'NIDS DNS table'!$B$70,1)),". addRR ",LEFT('NIDS DNS table'!$B$70,FIND(".",'NIDS DNS table'!$B$70,1)-1)," A ",'NIDS DNS table'!$C$71)</f>
        <v>zone name.cisco.com. addRR sga-bMAIN_STCA A 10.89.226.13</v>
      </c>
    </row>
    <row r="45" ht="13.5">
      <c r="A45" s="93" t="str">
        <f>CONCATENATE("zone ",RIGHT('NIDS DNS table'!$B$72,LEN('NIDS DNS table'!$B$72)-FIND(".",'NIDS DNS table'!$B$72,1)),". addRR ",LEFT('NIDS DNS table'!$B$72,FIND(".",'NIDS DNS table'!$B$72,1)-1)," A ",'NIDS DNS table'!$C$72)</f>
        <v>zone name.cisco.com. addRR bsm-a1MAIN_STCA A 10.89.225.12</v>
      </c>
    </row>
    <row r="46" ht="13.5">
      <c r="A46" s="93" t="str">
        <f>CONCATENATE("zone ",RIGHT('NIDS DNS table'!$B$73,LEN('NIDS DNS table'!$B$73)-FIND(".",'NIDS DNS table'!$B$73,1)),". addRR ",LEFT('NIDS DNS table'!$B$73,FIND(".",'NIDS DNS table'!$B$73,1)-1)," A ",'NIDS DNS table'!$C$73)</f>
        <v>zone name.cisco.com. addRR bsm-a2MAIN_STCA A 10.89.226.12</v>
      </c>
    </row>
    <row r="47" ht="13.5">
      <c r="A47" s="93" t="str">
        <f>CONCATENATE("zone ",RIGHT('NIDS DNS table'!$B$74,LEN('NIDS DNS table'!$B$74)-FIND(".",'NIDS DNS table'!$B$74,1)),". addRR ",LEFT('NIDS DNS table'!$B$74,FIND(".",'NIDS DNS table'!$B$74,1)-1)," A ",'NIDS DNS table'!$C$74)</f>
        <v>zone name.cisco.com. addRR bsm-b1MAIN_STCA A 10.89.225.13</v>
      </c>
    </row>
    <row r="48" ht="13.5">
      <c r="A48" s="93" t="str">
        <f>CONCATENATE("zone ",RIGHT('NIDS DNS table'!$B$75,LEN('NIDS DNS table'!$B$75)-FIND(".",'NIDS DNS table'!$B$75,1)),". addRR ",LEFT('NIDS DNS table'!$B$75,FIND(".",'NIDS DNS table'!$B$75,1)-1)," A ",'NIDS DNS table'!$C$75)</f>
        <v>zone name.cisco.com. addRR bsm-b2MAIN_STCA A 10.89.226.13</v>
      </c>
    </row>
    <row r="49" ht="13.5">
      <c r="A49" s="93" t="str">
        <f>CONCATENATE("zone ",RIGHT('NIDS DNS table'!$B$78,LEN('NIDS DNS table'!$B$78)-FIND(".",'NIDS DNS table'!$B$78,1)),". addRR ",LEFT('NIDS DNS table'!$B$78,FIND(".",'NIDS DNS table'!$B$78,1)-1)," A ",'NIDS DNS table'!$C$78)</f>
        <v>zone name.cisco.com. addRR crit-aMAIN_STAIN A 10.89.225.12</v>
      </c>
    </row>
    <row r="50" ht="13.5">
      <c r="A50" s="93" t="str">
        <f>CONCATENATE("zone ",RIGHT('NIDS DNS table'!$B$78,LEN('NIDS DNS table'!$B$78)-FIND(".",'NIDS DNS table'!$B$78,1)),". addRR ",LEFT('NIDS DNS table'!$B$78,FIND(".",'NIDS DNS table'!$B$78,1)-1)," A ",'NIDS DNS table'!$C$79)</f>
        <v>zone name.cisco.com. addRR crit-aMAIN_STAIN A 10.89.226.12</v>
      </c>
    </row>
    <row r="51" ht="13.5">
      <c r="A51" s="93" t="str">
        <f>CONCATENATE("zone ",RIGHT('NIDS DNS table'!$B$80,LEN('NIDS DNS table'!$B$80)-FIND(".",'NIDS DNS table'!$B$80,1)),". addRR ",LEFT('NIDS DNS table'!$B$80,FIND(".",'NIDS DNS table'!$B$80,1)-1)," A ",'NIDS DNS table'!$C$80)</f>
        <v>zone name.cisco.com. addRR crit-bMAIN_STAIN A 10.89.225.13</v>
      </c>
    </row>
    <row r="52" ht="13.5">
      <c r="A52" s="93" t="str">
        <f>CONCATENATE("zone ",RIGHT('NIDS DNS table'!$B$80,LEN('NIDS DNS table'!$B$80)-FIND(".",'NIDS DNS table'!$B$80,1)),". addRR ",LEFT('NIDS DNS table'!$B$80,FIND(".",'NIDS DNS table'!$B$80,1)-1)," A ",'NIDS DNS table'!$C$81)</f>
        <v>zone name.cisco.com. addRR crit-bMAIN_STAIN A 10.89.226.13</v>
      </c>
    </row>
    <row r="53" ht="13.5">
      <c r="A53" s="93" t="str">
        <f>CONCATENATE("zone ",RIGHT('NIDS DNS table'!$B$82,LEN('NIDS DNS table'!$B$82)-FIND(".",'NIDS DNS table'!$B$82,1)),". addRR ",LEFT('NIDS DNS table'!$B$82,FIND(".",'NIDS DNS table'!$B$82,1)-1)," A ",'NIDS DNS table'!$C$82)</f>
        <v>zone name.cisco.com. addRR sgw-aMAIN_STAIN A 10.89.225.12</v>
      </c>
    </row>
    <row r="54" ht="13.5">
      <c r="A54" s="93" t="str">
        <f>CONCATENATE("zone ",RIGHT('NIDS DNS table'!$B$82,LEN('NIDS DNS table'!$B$82)-FIND(".",'NIDS DNS table'!$B$82,1)),". addRR ",LEFT('NIDS DNS table'!$B$82,FIND(".",'NIDS DNS table'!$B$82,1)-1)," A ",'NIDS DNS table'!$C$83)</f>
        <v>zone name.cisco.com. addRR sgw-aMAIN_STAIN A 10.89.226.12</v>
      </c>
    </row>
    <row r="55" ht="13.5">
      <c r="A55" s="93" t="str">
        <f>CONCATENATE("zone ",RIGHT('NIDS DNS table'!$B$84,LEN('NIDS DNS table'!$B$84)-FIND(".",'NIDS DNS table'!$B$84,1)),". addRR ",LEFT('NIDS DNS table'!$B$84,FIND(".",'NIDS DNS table'!$B$84,1)-1)," A ",'NIDS DNS table'!$C$84)</f>
        <v>zone name.cisco.com. addRR sgw-bMAIN_STAIN A 10.89.225.13</v>
      </c>
    </row>
    <row r="56" ht="13.5">
      <c r="A56" s="93" t="str">
        <f>CONCATENATE("zone ",RIGHT('NIDS DNS table'!$B$84,LEN('NIDS DNS table'!$B$84)-FIND(".",'NIDS DNS table'!$B$84,1)),". addRR ",LEFT('NIDS DNS table'!$B$84,FIND(".",'NIDS DNS table'!$B$84,1)-1)," A ",'NIDS DNS table'!$C$85)</f>
        <v>zone name.cisco.com. addRR sgw-bMAIN_STAIN A 10.89.226.13</v>
      </c>
    </row>
    <row r="57" ht="13.5">
      <c r="A57" s="93" t="str">
        <f>CONCATENATE("zone ",RIGHT('NIDS DNS table'!$B$88,LEN('NIDS DNS table'!$B$88)-FIND(".",'NIDS DNS table'!$B$88,1)),". addRR ",LEFT('NIDS DNS table'!$B$88,FIND(".",'NIDS DNS table'!$B$88,1)-1)," A ",'NIDS DNS table'!$C$88)</f>
        <v>zone name.cisco.com. addRR crit-aMAIN_STPTC A 10.89.225.12</v>
      </c>
    </row>
    <row r="58" ht="13.5">
      <c r="A58" s="93" t="str">
        <f>CONCATENATE("zone ",RIGHT('NIDS DNS table'!$B$88,LEN('NIDS DNS table'!$B$88)-FIND(".",'NIDS DNS table'!$B$88,1)),". addRR ",LEFT('NIDS DNS table'!$B$88,FIND(".",'NIDS DNS table'!$B$88,1)-1)," A ",'NIDS DNS table'!$C$89)</f>
        <v>zone name.cisco.com. addRR crit-aMAIN_STPTC A 10.89.226.12</v>
      </c>
    </row>
    <row r="59" ht="13.5">
      <c r="A59" s="93" t="str">
        <f>CONCATENATE("zone ",RIGHT('NIDS DNS table'!$B$90,LEN('NIDS DNS table'!$B$90)-FIND(".",'NIDS DNS table'!$B$90,1)),". addRR ",LEFT('NIDS DNS table'!$B$90,FIND(".",'NIDS DNS table'!$B$90,1)-1)," A ",'NIDS DNS table'!$C$90)</f>
        <v>zone name.cisco.com. addRR crit-bMAIN_STPTC A 10.89.225.13</v>
      </c>
    </row>
    <row r="60" ht="13.5">
      <c r="A60" s="93" t="str">
        <f>CONCATENATE("zone ",RIGHT('NIDS DNS table'!$B$90,LEN('NIDS DNS table'!$B$90)-FIND(".",'NIDS DNS table'!$B$90,1)),". addRR ",LEFT('NIDS DNS table'!$B$90,FIND(".",'NIDS DNS table'!$B$90,1)-1)," A ",'NIDS DNS table'!$C$91)</f>
        <v>zone name.cisco.com. addRR crit-bMAIN_STPTC A 10.89.226.13</v>
      </c>
    </row>
    <row r="61" ht="13.5">
      <c r="A61" s="93" t="str">
        <f>CONCATENATE("zone ",RIGHT('NIDS DNS table'!$B$92,LEN('NIDS DNS table'!$B$92)-FIND(".",'NIDS DNS table'!$B$92,1)),". addRR ",LEFT('NIDS DNS table'!$B$92,FIND(".",'NIDS DNS table'!$B$92,1)-1)," A ",'NIDS DNS table'!$C$92)</f>
        <v>zone name.cisco.com. addRR sgw-aMAIN_STPTC A 10.89.225.12</v>
      </c>
    </row>
    <row r="62" ht="13.5">
      <c r="A62" s="93" t="str">
        <f>CONCATENATE("zone ",RIGHT('NIDS DNS table'!$B$92,LEN('NIDS DNS table'!$B$92)-FIND(".",'NIDS DNS table'!$B$92,1)),". addRR ",LEFT('NIDS DNS table'!$B$92,FIND(".",'NIDS DNS table'!$B$92,1)-1)," A ",'NIDS DNS table'!$C$93)</f>
        <v>zone name.cisco.com. addRR sgw-aMAIN_STPTC A 10.89.226.12</v>
      </c>
    </row>
    <row r="63" ht="13.5">
      <c r="A63" s="93" t="str">
        <f>CONCATENATE("zone ",RIGHT('NIDS DNS table'!$B$94,LEN('NIDS DNS table'!$B$94)-FIND(".",'NIDS DNS table'!$B$94,1)),". addRR ",LEFT('NIDS DNS table'!$B$94,FIND(".",'NIDS DNS table'!$B$94,1)-1)," A ",'NIDS DNS table'!$C$94)</f>
        <v>zone name.cisco.com. addRR sgw-bMAIN_STPTC A 10.89.225.13</v>
      </c>
    </row>
    <row r="64" ht="13.5">
      <c r="A64" s="93" t="str">
        <f>CONCATENATE("zone ",RIGHT('NIDS DNS table'!$B$94,LEN('NIDS DNS table'!$B$94)-FIND(".",'NIDS DNS table'!$B$94,1)),". addRR ",LEFT('NIDS DNS table'!$B$94,FIND(".",'NIDS DNS table'!$B$94,1)-1)," A ",'NIDS DNS table'!$C$95)</f>
        <v>zone name.cisco.com. addRR sgw-bMAIN_STPTC A 10.89.226.13</v>
      </c>
    </row>
    <row r="65" ht="13.5">
      <c r="A65" s="93" t="str">
        <f>CONCATENATE("zone ",RIGHT('NIDS DNS table'!$B$96,LEN('NIDS DNS table'!$B$96)-FIND(".",'NIDS DNS table'!$B$96,1)),". addRR ",LEFT('NIDS DNS table'!$B$96,FIND(".",'NIDS DNS table'!$B$96,1)-1)," A ",'NIDS DNS table'!$C$96)</f>
        <v>zone name.cisco.com. addRR gfs-MAIN_STPTC235 A 10.89.225.15</v>
      </c>
    </row>
    <row r="66" ht="13.5">
      <c r="A66" s="93" t="str">
        <f>CONCATENATE("zone ",RIGHT('NIDS DNS table'!$B$96,LEN('NIDS DNS table'!$B$96)-FIND(".",'NIDS DNS table'!$B$96,1)),". addRR ",LEFT('NIDS DNS table'!$B$96,FIND(".",'NIDS DNS table'!$B$96,1)-1)," A ",'NIDS DNS table'!$C$97)</f>
        <v>zone name.cisco.com. addRR gfs-MAIN_STPTC235 A 10.89.226.15</v>
      </c>
    </row>
    <row r="67" ht="13.5">
      <c r="A67" s="93" t="str">
        <f>CONCATENATE("zone ",RIGHT('NIDS DNS table'!$B$98,LEN('NIDS DNS table'!$B$98)-FIND(".",'NIDS DNS table'!$B$98,1)),". addRR ",LEFT('NIDS DNS table'!$B$98,FIND(".",'NIDS DNS table'!$B$98,1)-1)," A ",'NIDS DNS table'!$C$98)</f>
        <v>zone name.cisco.com. addRR crit-aMAIN_STEMS A 10.89.223.10</v>
      </c>
    </row>
    <row r="68" ht="13.5">
      <c r="A68" s="93" t="str">
        <f>CONCATENATE("zone ",RIGHT('NIDS DNS table'!$B$98,LEN('NIDS DNS table'!$B$98)-FIND(".",'NIDS DNS table'!$B$98,1)),". addRR ",LEFT('NIDS DNS table'!$B$98,FIND(".",'NIDS DNS table'!$B$98,1)-1)," A ",'NIDS DNS table'!$C$99)</f>
        <v>zone name.cisco.com. addRR crit-aMAIN_STEMS A 10.89.224.10</v>
      </c>
    </row>
    <row r="69" ht="13.5">
      <c r="A69" s="93" t="str">
        <f>CONCATENATE("zone ",RIGHT('NIDS DNS table'!$B$100,LEN('NIDS DNS table'!$B$100)-FIND(".",'NIDS DNS table'!$B$100,1)),". addRR ",LEFT('NIDS DNS table'!$B$100,FIND(".",'NIDS DNS table'!$B$100,1)-1)," A ",'NIDS DNS table'!$C$100)</f>
        <v>zone name.cisco.com. addRR crit-bMAIN_STEMS A 10.89.223.11</v>
      </c>
    </row>
    <row r="70" ht="13.5">
      <c r="A70" s="93" t="str">
        <f>CONCATENATE("zone ",RIGHT('NIDS DNS table'!$B$100,LEN('NIDS DNS table'!$B$100)-FIND(".",'NIDS DNS table'!$B$100,1)),". addRR ",LEFT('NIDS DNS table'!$B$100,FIND(".",'NIDS DNS table'!$B$100,1)-1)," A ",'NIDS DNS table'!$C$101)</f>
        <v>zone name.cisco.com. addRR crit-bMAIN_STEMS A 10.89.224.11</v>
      </c>
    </row>
    <row r="71" ht="13.5">
      <c r="A71" s="93"/>
    </row>
    <row r="72" ht="13.5">
      <c r="A72" s="93"/>
    </row>
    <row r="73" ht="13.5">
      <c r="A73" s="93" t="s">
        <v>405</v>
      </c>
    </row>
    <row r="74" ht="13.5">
      <c r="A74" s="93" t="s">
        <v>407</v>
      </c>
    </row>
    <row r="75" ht="13.5">
      <c r="A75" s="93" t="s">
        <v>405</v>
      </c>
    </row>
    <row r="76" ht="13.5">
      <c r="A76" s="93" t="str">
        <f>CONCATENATE("zone ",RIGHT('NIDS DNS table'!$B$20,LEN('NIDS DNS table'!$B$20)-FIND(".",'NIDS DNS table'!$B$20,1)),". addRR ",LEFT('NIDS DNS table'!$B$20,FIND(".",'NIDS DNS table'!$B$20,1)-1)," A ",'NIDS DNS table'!$C$20)</f>
        <v>zone name.cisco.com. addRR red-aMAIN_STCA A 10.10.120.12</v>
      </c>
    </row>
    <row r="77" ht="13.5">
      <c r="A77" s="93" t="str">
        <f>CONCATENATE("zone ",RIGHT('NIDS DNS table'!$B$20,LEN('NIDS DNS table'!$B$20)-FIND(".",'NIDS DNS table'!$B$20,1)),". addRR ",LEFT('NIDS DNS table'!$B$20,FIND(".",'NIDS DNS table'!$B$20,1)-1)," A ",'NIDS DNS table'!$C$21)</f>
        <v>zone name.cisco.com. addRR red-aMAIN_STCA A 10.10.121.12</v>
      </c>
    </row>
    <row r="78" ht="13.5">
      <c r="A78" s="93" t="str">
        <f>CONCATENATE("zone ",RIGHT('NIDS DNS table'!$B$22,LEN('NIDS DNS table'!$B$22)-FIND(".",'NIDS DNS table'!$B$22,1)),". addRR ",LEFT('NIDS DNS table'!$B$22,FIND(".",'NIDS DNS table'!$B$22,1)-1)," A ",'NIDS DNS table'!$C$22)</f>
        <v>zone name.cisco.com. addRR red-bMAIN_STCA A 10.10.120.13</v>
      </c>
    </row>
    <row r="79" ht="13.5">
      <c r="A79" s="93" t="str">
        <f>CONCATENATE("zone ",RIGHT('NIDS DNS table'!$B$22,LEN('NIDS DNS table'!$B$22)-FIND(".",'NIDS DNS table'!$B$22,1)),". addRR ",LEFT('NIDS DNS table'!$B$22,FIND(".",'NIDS DNS table'!$B$22,1)-1)," A ",'NIDS DNS table'!$C$23)</f>
        <v>zone name.cisco.com. addRR red-bMAIN_STCA A 10.10.121.13</v>
      </c>
    </row>
    <row r="80" ht="13.5">
      <c r="A80" s="93" t="str">
        <f>CONCATENATE("zone ",RIGHT('NIDS DNS table'!$B$24,LEN('NIDS DNS table'!$B$24)-FIND(".",'NIDS DNS table'!$B$24,1)),". addRR ",LEFT('NIDS DNS table'!$B$24,FIND(".",'NIDS DNS table'!$B$24,1)-1)," A ",'NIDS DNS table'!$C$24)</f>
        <v>zone name.cisco.com. addRR red-aMAIN_STAIN A 10.10.120.12</v>
      </c>
    </row>
    <row r="81" ht="13.5">
      <c r="A81" s="93" t="str">
        <f>CONCATENATE("zone ",RIGHT('NIDS DNS table'!$B$24,LEN('NIDS DNS table'!$B$24)-FIND(".",'NIDS DNS table'!$B$24,1)),". addRR ",LEFT('NIDS DNS table'!$B$24,FIND(".",'NIDS DNS table'!$B$24,1)-1)," A ",'NIDS DNS table'!$C$25)</f>
        <v>zone name.cisco.com. addRR red-aMAIN_STAIN A 10.10.121.12</v>
      </c>
    </row>
    <row r="82" ht="13.5">
      <c r="A82" s="93" t="str">
        <f>CONCATENATE("zone ",RIGHT('NIDS DNS table'!$B$26,LEN('NIDS DNS table'!$B$26)-FIND(".",'NIDS DNS table'!$B$26,1)),". addRR ",LEFT('NIDS DNS table'!$B$26,FIND(".",'NIDS DNS table'!$B$26,1)-1)," A ",'NIDS DNS table'!$C$26)</f>
        <v>zone name.cisco.com. addRR red-bMAIN_STAIN A 10.10.120.13</v>
      </c>
    </row>
    <row r="83" ht="13.5">
      <c r="A83" s="93" t="str">
        <f>CONCATENATE("zone ",RIGHT('NIDS DNS table'!$B$26,LEN('NIDS DNS table'!$B$26)-FIND(".",'NIDS DNS table'!$B$26,1)),". addRR ",LEFT('NIDS DNS table'!$B$26,FIND(".",'NIDS DNS table'!$B$26,1)-1)," A ",'NIDS DNS table'!$C$27)</f>
        <v>zone name.cisco.com. addRR red-bMAIN_STAIN A 10.10.121.13</v>
      </c>
    </row>
    <row r="84" ht="13.5">
      <c r="A84" s="93" t="str">
        <f>CONCATENATE("zone ",RIGHT('NIDS DNS table'!$B$28,LEN('NIDS DNS table'!$B$28)-FIND(".",'NIDS DNS table'!$B$28,1)),". addRR ",LEFT('NIDS DNS table'!$B$28,FIND(".",'NIDS DNS table'!$B$28,1)-1)," A ",'NIDS DNS table'!$C$28)</f>
        <v>zone name.cisco.com. addRR red-aMAIN_STPTC A 10.10.120.12</v>
      </c>
    </row>
    <row r="85" ht="13.5">
      <c r="A85" s="93" t="str">
        <f>CONCATENATE("zone ",RIGHT('NIDS DNS table'!$B$28,LEN('NIDS DNS table'!$B$28)-FIND(".",'NIDS DNS table'!$B$28,1)),". addRR ",LEFT('NIDS DNS table'!$B$28,FIND(".",'NIDS DNS table'!$B$28,1)-1)," A ",'NIDS DNS table'!$C$29)</f>
        <v>zone name.cisco.com. addRR red-aMAIN_STPTC A 10.10.121.12</v>
      </c>
    </row>
    <row r="86" ht="13.5">
      <c r="A86" s="93" t="str">
        <f>CONCATENATE("zone ",RIGHT('NIDS DNS table'!$B$30,LEN('NIDS DNS table'!$B$30)-FIND(".",'NIDS DNS table'!$B$30,1)),". addRR ",LEFT('NIDS DNS table'!$B$30,FIND(".",'NIDS DNS table'!$B$30,1)-1)," A ",'NIDS DNS table'!$C$30)</f>
        <v>zone name.cisco.com. addRR red-bMAIN_STPTC A 10.10.120.13</v>
      </c>
    </row>
    <row r="87" ht="13.5">
      <c r="A87" s="93" t="str">
        <f>CONCATENATE("zone ",RIGHT('NIDS DNS table'!$B$30,LEN('NIDS DNS table'!$B$30)-FIND(".",'NIDS DNS table'!$B$30,1)),". addRR ",LEFT('NIDS DNS table'!$B$30,FIND(".",'NIDS DNS table'!$B$30,1)-1)," A ",'NIDS DNS table'!$C$31)</f>
        <v>zone name.cisco.com. addRR red-bMAIN_STPTC A 10.10.121.13</v>
      </c>
    </row>
    <row r="88" ht="13.5">
      <c r="A88" s="93" t="str">
        <f>CONCATENATE("zone ",RIGHT('NIDS DNS table'!$B$32,LEN('NIDS DNS table'!$B$32)-FIND(".",'NIDS DNS table'!$B$32,1)),". addRR ",LEFT('NIDS DNS table'!$B$32,FIND(".",'NIDS DNS table'!$B$32,1)-1)," A ",'NIDS DNS table'!$C$32)</f>
        <v>zone name.cisco.com. addRR red-aMAIN_STEMS A 10.10.122.10</v>
      </c>
    </row>
    <row r="89" ht="13.5">
      <c r="A89" s="93" t="str">
        <f>CONCATENATE("zone ",RIGHT('NIDS DNS table'!$B$32,LEN('NIDS DNS table'!$B$32)-FIND(".",'NIDS DNS table'!$B$32,1)),". addRR ",LEFT('NIDS DNS table'!$B$32,FIND(".",'NIDS DNS table'!$B$32,1)-1)," A ",'NIDS DNS table'!$C$33)</f>
        <v>zone name.cisco.com. addRR red-aMAIN_STEMS A 10.10.123.10</v>
      </c>
    </row>
    <row r="90" ht="13.5">
      <c r="A90" s="93" t="str">
        <f>CONCATENATE("zone ",RIGHT('NIDS DNS table'!$B$34,LEN('NIDS DNS table'!$B$34)-FIND(".",'NIDS DNS table'!$B$34,1)),". addRR ",LEFT('NIDS DNS table'!$B$34,FIND(".",'NIDS DNS table'!$B$34,1)-1)," A ",'NIDS DNS table'!$C$34)</f>
        <v>zone name.cisco.com. addRR red-bMAIN_STEMS A 10.10.122.11</v>
      </c>
    </row>
    <row r="91" ht="13.5">
      <c r="A91" s="93" t="str">
        <f>CONCATENATE("zone ",RIGHT('NIDS DNS table'!$B$34,LEN('NIDS DNS table'!$B$34)-FIND(".",'NIDS DNS table'!$B$34,1)),". addRR ",LEFT('NIDS DNS table'!$B$34,FIND(".",'NIDS DNS table'!$B$34,1)-1)," A ",'NIDS DNS table'!$C$35)</f>
        <v>zone name.cisco.com. addRR red-bMAIN_STEMS A 10.10.123.11</v>
      </c>
    </row>
    <row r="92" ht="13.5">
      <c r="A92" s="93" t="str">
        <f>CONCATENATE("zone ",RIGHT('NIDS DNS table'!$B$36,LEN('NIDS DNS table'!$B$36)-FIND(".",'NIDS DNS table'!$B$36,1)),". addRR ",LEFT('NIDS DNS table'!$B$36,FIND(".",'NIDS DNS table'!$B$36,1)-1)," A ",'NIDS DNS table'!$C$36)</f>
        <v>zone name.cisco.com. addRR blg-aMAIN_STEMS A 10.10.122.10</v>
      </c>
    </row>
    <row r="93" ht="13.5">
      <c r="A93" s="93" t="str">
        <f>CONCATENATE("zone ",RIGHT('NIDS DNS table'!$B$36,LEN('NIDS DNS table'!$B$36)-FIND(".",'NIDS DNS table'!$B$36,1)),". addRR ",LEFT('NIDS DNS table'!$B$36,FIND(".",'NIDS DNS table'!$B$36,1)-1)," A ",'NIDS DNS table'!$C$37)</f>
        <v>zone name.cisco.com. addRR blg-aMAIN_STEMS A 10.10.123.10</v>
      </c>
    </row>
    <row r="94" ht="13.5">
      <c r="A94" s="93" t="str">
        <f>CONCATENATE("zone ",RIGHT('NIDS DNS table'!$B$38,LEN('NIDS DNS table'!$B$38)-FIND(".",'NIDS DNS table'!$B$38,1)),". addRR ",LEFT('NIDS DNS table'!$B$38,FIND(".",'NIDS DNS table'!$B$38,1)-1)," A ",'NIDS DNS table'!$C$38)</f>
        <v>zone name.cisco.com. addRR blg-bMAIN_STEMS A 10.10.122.11</v>
      </c>
    </row>
    <row r="95" ht="13.5">
      <c r="A95" s="93" t="str">
        <f>CONCATENATE("zone ",RIGHT('NIDS DNS table'!$B$38,LEN('NIDS DNS table'!$B$38)-FIND(".",'NIDS DNS table'!$B$38,1)),". addRR ",LEFT('NIDS DNS table'!$B$38,FIND(".",'NIDS DNS table'!$B$38,1)-1)," A ",'NIDS DNS table'!$C$39)</f>
        <v>zone name.cisco.com. addRR blg-bMAIN_STEMS A 10.10.123.11</v>
      </c>
    </row>
    <row r="96" ht="13.5">
      <c r="A96" s="93" t="str">
        <f>CONCATENATE("zone ",RIGHT('NIDS DNS table'!$B$40,LEN('NIDS DNS table'!$B$40)-FIND(".",'NIDS DNS table'!$B$40,1)),". addRR ",LEFT('NIDS DNS table'!$B$40,FIND(".",'NIDS DNS table'!$B$40,1)-1)," A ",'NIDS DNS table'!$C$40)</f>
        <v>zone name.cisco.com. addRR blg-aMAIN_STCA A 10.10.122.12</v>
      </c>
    </row>
    <row r="97" ht="13.5">
      <c r="A97" s="93" t="str">
        <f>CONCATENATE("zone ",RIGHT('NIDS DNS table'!$B$40,LEN('NIDS DNS table'!$B$40)-FIND(".",'NIDS DNS table'!$B$40,1)),". addRR ",LEFT('NIDS DNS table'!$B$40,FIND(".",'NIDS DNS table'!$B$40,1)-1)," A ",'NIDS DNS table'!$C$41)</f>
        <v>zone name.cisco.com. addRR blg-aMAIN_STCA A 10.10.123.12</v>
      </c>
    </row>
    <row r="98" ht="13.5">
      <c r="A98" s="93" t="str">
        <f>CONCATENATE("zone ",RIGHT('NIDS DNS table'!$B$42,LEN('NIDS DNS table'!$B$42)-FIND(".",'NIDS DNS table'!$B$42,1)),". addRR ",LEFT('NIDS DNS table'!$B$42,FIND(".",'NIDS DNS table'!$B$42,1)-1)," A ",'NIDS DNS table'!$C$42)</f>
        <v>zone name.cisco.com. addRR blg-bMAIN_STCA A 10.10.122.13</v>
      </c>
    </row>
    <row r="99" ht="13.5">
      <c r="A99" s="93" t="str">
        <f>CONCATENATE("zone ",RIGHT('NIDS DNS table'!$B$42,LEN('NIDS DNS table'!$B$42)-FIND(".",'NIDS DNS table'!$B$42,1)),". addRR ",LEFT('NIDS DNS table'!$B$42,FIND(".",'NIDS DNS table'!$B$42,1)-1)," A ",'NIDS DNS table'!$C$43)</f>
        <v>zone name.cisco.com. addRR blg-bMAIN_STCA A 10.10.123.13</v>
      </c>
    </row>
    <row r="100" ht="13.5">
      <c r="A100" s="93" t="str">
        <f>CONCATENATE("zone ",RIGHT('NIDS DNS table'!$B$62,LEN('NIDS DNS table'!$B$62)-FIND(".",'NIDS DNS table'!$B$62,1)),". addRR ",LEFT('NIDS DNS table'!$B$62,FIND(".",'NIDS DNS table'!$B$62,1)-1)," A ",'NIDS DNS table'!$C$62)</f>
        <v>zone name.cisco.com. addRR sim-MAIN_STCA146 A 10.10.124.146</v>
      </c>
    </row>
    <row r="101" ht="13.5">
      <c r="A101" s="93" t="str">
        <f>CONCATENATE("zone ",RIGHT('NIDS DNS table'!$B$62,LEN('NIDS DNS table'!$B$62)-FIND(".",'NIDS DNS table'!$B$62,1)),". addRR ",LEFT('NIDS DNS table'!$B$62,FIND(".",'NIDS DNS table'!$B$62,1)-1)," A ",'NIDS DNS table'!$C$63)</f>
        <v>zone name.cisco.com. addRR sim-MAIN_STCA146 A 10.10.125.146</v>
      </c>
    </row>
    <row r="102" ht="13.5">
      <c r="A102" s="93" t="str">
        <f>CONCATENATE("zone ",RIGHT('NIDS DNS table'!$B$76,LEN('NIDS DNS table'!$B$76)-FIND(".",'NIDS DNS table'!$B$76,1)),". addRR ",LEFT('NIDS DNS table'!$B$76,FIND(".",'NIDS DNS table'!$B$76,1)-1)," A ",'NIDS DNS table'!$C$76)</f>
        <v>zone name.cisco.com. addRR asm-MAIN_STAIN205 A 10.10.124.205</v>
      </c>
    </row>
    <row r="103" ht="13.5">
      <c r="A103" s="93" t="str">
        <f>CONCATENATE("zone ",RIGHT('NIDS DNS table'!$B$76,LEN('NIDS DNS table'!$B$76)-FIND(".",'NIDS DNS table'!$B$76,1)),". addRR ",LEFT('NIDS DNS table'!$B$76,FIND(".",'NIDS DNS table'!$B$76,1)-1)," A ",'NIDS DNS table'!$C$77)</f>
        <v>zone name.cisco.com. addRR asm-MAIN_STAIN205 A 10.10.125.205</v>
      </c>
    </row>
    <row r="104" ht="13.5">
      <c r="A104" s="93" t="str">
        <f>CONCATENATE("zone ",RIGHT('NIDS DNS table'!$B$86,LEN('NIDS DNS table'!$B$86)-FIND(".",'NIDS DNS table'!$B$86,1)),". addRR ",LEFT('NIDS DNS table'!$B$86,FIND(".",'NIDS DNS table'!$B$86,1)-1)," A ",'NIDS DNS table'!$C$86)</f>
        <v>zone name.cisco.com. addRR pots-MAIN_STPTC235 A 10.10.124.235</v>
      </c>
    </row>
    <row r="105" ht="13.5">
      <c r="A105" s="93" t="str">
        <f>CONCATENATE("zone ",RIGHT('NIDS DNS table'!$B$86,LEN('NIDS DNS table'!$B$86)-FIND(".",'NIDS DNS table'!$B$86,1)),". addRR ",LEFT('NIDS DNS table'!$B$86,FIND(".",'NIDS DNS table'!$B$86,1)-1)," A ",'NIDS DNS table'!$C$87)</f>
        <v>zone name.cisco.com. addRR pots-MAIN_STPTC235 A 10.10.125.235</v>
      </c>
    </row>
    <row r="106" ht="13.5">
      <c r="A106" s="93" t="str">
        <f>CONCATENATE("zone ",RIGHT('NIDS DNS table'!$B$102,LEN('NIDS DNS table'!$B$102)-FIND(".",'NIDS DNS table'!$B$102,1)),". addRR ",LEFT('NIDS DNS table'!$B$102,FIND(".",'NIDS DNS table'!$B$102,1)-1)," A ",'NIDS DNS table'!$C$102)</f>
        <v>zone name.cisco.com. addRR oms-aMAIN_STCA A 10.10.122.12</v>
      </c>
    </row>
    <row r="107" ht="13.5">
      <c r="A107" s="93" t="str">
        <f>CONCATENATE("zone ",RIGHT('NIDS DNS table'!$B$102,LEN('NIDS DNS table'!$B$102)-FIND(".",'NIDS DNS table'!$B$102,1)),". addRR ",LEFT('NIDS DNS table'!$B$102,FIND(".",'NIDS DNS table'!$B$102,1)-1)," A ",'NIDS DNS table'!$C$103)</f>
        <v>zone name.cisco.com. addRR oms-aMAIN_STCA A 10.10.123.12</v>
      </c>
    </row>
    <row r="108" ht="13.5">
      <c r="A108" s="93" t="str">
        <f>CONCATENATE("zone ",RIGHT('NIDS DNS table'!$B$104,LEN('NIDS DNS table'!$B$104)-FIND(".",'NIDS DNS table'!$B$104,1)),". addRR ",LEFT('NIDS DNS table'!$B$104,FIND(".",'NIDS DNS table'!$B$104,1)-1)," A ",'NIDS DNS table'!$C$104)</f>
        <v>zone name.cisco.com. addRR oms-bMAIN_STCA A 10.10.122.13</v>
      </c>
    </row>
    <row r="109" ht="13.5">
      <c r="A109" s="93" t="str">
        <f>CONCATENATE("zone ",RIGHT('NIDS DNS table'!$B$104,LEN('NIDS DNS table'!$B$104)-FIND(".",'NIDS DNS table'!$B$104,1)),". addRR ",LEFT('NIDS DNS table'!$B$104,FIND(".",'NIDS DNS table'!$B$104,1)-1)," A ",'NIDS DNS table'!$C$105)</f>
        <v>zone name.cisco.com. addRR oms-bMAIN_STCA A 10.10.123.13</v>
      </c>
    </row>
    <row r="110" ht="13.5">
      <c r="A110" s="93" t="str">
        <f>CONCATENATE("zone ",RIGHT('NIDS DNS table'!$B$106,LEN('NIDS DNS table'!$B$106)-FIND(".",'NIDS DNS table'!$B$106,1)),". addRR ",LEFT('NIDS DNS table'!$B$106,FIND(".",'NIDS DNS table'!$B$106,1)-1)," A ",'NIDS DNS table'!$C$106)</f>
        <v>zone name.cisco.com. addRR oms-aMAIN_STAIN A 10.10.122.12</v>
      </c>
    </row>
    <row r="111" ht="13.5">
      <c r="A111" s="93" t="str">
        <f>CONCATENATE("zone ",RIGHT('NIDS DNS table'!$B$106,LEN('NIDS DNS table'!$B$106)-FIND(".",'NIDS DNS table'!$B$106,1)),". addRR ",LEFT('NIDS DNS table'!$B$106,FIND(".",'NIDS DNS table'!$B$106,1)-1)," A ",'NIDS DNS table'!$C$107)</f>
        <v>zone name.cisco.com. addRR oms-aMAIN_STAIN A 10.10.123.12</v>
      </c>
    </row>
    <row r="112" ht="13.5">
      <c r="A112" s="93" t="str">
        <f>CONCATENATE("zone ",RIGHT('NIDS DNS table'!$B$108,LEN('NIDS DNS table'!$B$108)-FIND(".",'NIDS DNS table'!$B$108,1)),". addRR ",LEFT('NIDS DNS table'!$B$108,FIND(".",'NIDS DNS table'!$B$108,1)-1)," A ",'NIDS DNS table'!$C$108)</f>
        <v>zone name.cisco.com. addRR oms-bMAIN_STAIN A 10.10.122.13</v>
      </c>
    </row>
    <row r="113" ht="13.5">
      <c r="A113" s="93" t="str">
        <f>CONCATENATE("zone ",RIGHT('NIDS DNS table'!$B$108,LEN('NIDS DNS table'!$B$108)-FIND(".",'NIDS DNS table'!$B$108,1)),". addRR ",LEFT('NIDS DNS table'!$B$108,FIND(".",'NIDS DNS table'!$B$108,1)-1)," A ",'NIDS DNS table'!$C$109)</f>
        <v>zone name.cisco.com. addRR oms-bMAIN_STAIN A 10.10.123.13</v>
      </c>
    </row>
    <row r="114" ht="13.5">
      <c r="A114" s="93" t="str">
        <f>CONCATENATE("zone ",RIGHT('NIDS DNS table'!$B$110,LEN('NIDS DNS table'!$B$110)-FIND(".",'NIDS DNS table'!$B$110,1)),". addRR ",LEFT('NIDS DNS table'!$B$110,FIND(".",'NIDS DNS table'!$B$110,1)-1)," A ",'NIDS DNS table'!$C$110)</f>
        <v>zone name.cisco.com. addRR oms-aMAIN_STPTC A 10.10.122.12</v>
      </c>
    </row>
    <row r="115" ht="13.5">
      <c r="A115" s="93" t="str">
        <f>CONCATENATE("zone ",RIGHT('NIDS DNS table'!$B$110,LEN('NIDS DNS table'!$B$110)-FIND(".",'NIDS DNS table'!$B$110,1)),". addRR ",LEFT('NIDS DNS table'!$B$110,FIND(".",'NIDS DNS table'!$B$110,1)-1)," A ",'NIDS DNS table'!$C$111)</f>
        <v>zone name.cisco.com. addRR oms-aMAIN_STPTC A 10.10.123.12</v>
      </c>
    </row>
    <row r="116" ht="13.5">
      <c r="A116" s="93" t="str">
        <f>CONCATENATE("zone ",RIGHT('NIDS DNS table'!$B$112,LEN('NIDS DNS table'!$B$112)-FIND(".",'NIDS DNS table'!$B$112,1)),". addRR ",LEFT('NIDS DNS table'!$B$112,FIND(".",'NIDS DNS table'!$B$112,1)-1)," A ",'NIDS DNS table'!$C$112)</f>
        <v>zone name.cisco.com. addRR oms-bMAIN_STPTC A 10.10.122.13</v>
      </c>
    </row>
    <row r="117" ht="13.5">
      <c r="A117" s="93" t="str">
        <f>CONCATENATE("zone ",RIGHT('NIDS DNS table'!$B$112,LEN('NIDS DNS table'!$B$112)-FIND(".",'NIDS DNS table'!$B$112,1)),". addRR ",LEFT('NIDS DNS table'!$B$112,FIND(".",'NIDS DNS table'!$B$112,1)-1)," A ",'NIDS DNS table'!$C$113)</f>
        <v>zone name.cisco.com. addRR oms-bMAIN_STPTC A 10.10.123.13</v>
      </c>
    </row>
    <row r="118" ht="13.5">
      <c r="A118" s="93" t="str">
        <f>CONCATENATE("zone ",RIGHT('NIDS DNS table'!$B$114,LEN('NIDS DNS table'!$B$114)-FIND(".",'NIDS DNS table'!$B$114,1)),". addRR ",LEFT('NIDS DNS table'!$B$114,FIND(".",'NIDS DNS table'!$B$114,1)-1)," A ",'NIDS DNS table'!$C$114)</f>
        <v>zone name.cisco.com. addRR oms-aMAIN_STEMS A 10.10.122.10</v>
      </c>
    </row>
    <row r="119" ht="13.5">
      <c r="A119" s="93" t="str">
        <f>CONCATENATE("zone ",RIGHT('NIDS DNS table'!$B$114,LEN('NIDS DNS table'!$B$114)-FIND(".",'NIDS DNS table'!$B$114,1)),". addRR ",LEFT('NIDS DNS table'!$B$114,FIND(".",'NIDS DNS table'!$B$114,1)-1)," A ",'NIDS DNS table'!$C$115)</f>
        <v>zone name.cisco.com. addRR oms-aMAIN_STEMS A 10.10.123.10</v>
      </c>
    </row>
    <row r="120" ht="13.5">
      <c r="A120" s="93" t="str">
        <f>CONCATENATE("zone ",RIGHT('NIDS DNS table'!$B$116,LEN('NIDS DNS table'!$B$116)-FIND(".",'NIDS DNS table'!$B$116,1)),". addRR ",LEFT('NIDS DNS table'!$B$116,FIND(".",'NIDS DNS table'!$B$116,1)-1)," A ",'NIDS DNS table'!$C$116)</f>
        <v>zone name.cisco.com. addRR oms-bMAIN_STEMS A 10.10.122.11</v>
      </c>
    </row>
    <row r="121" ht="13.5">
      <c r="A121" s="93" t="str">
        <f>CONCATENATE("zone ",RIGHT('NIDS DNS table'!$B$116,LEN('NIDS DNS table'!$B$116)-FIND(".",'NIDS DNS table'!$B$116,1)),". addRR ",LEFT('NIDS DNS table'!$B$116,FIND(".",'NIDS DNS table'!$B$116,1)-1)," A ",'NIDS DNS table'!$C$117)</f>
        <v>zone name.cisco.com. addRR oms-bMAIN_STEMS A 10.10.123.11</v>
      </c>
    </row>
    <row r="122" ht="13.5">
      <c r="A122" s="93"/>
    </row>
    <row r="123" ht="13.5">
      <c r="A123" s="93" t="s">
        <v>405</v>
      </c>
    </row>
    <row r="124" ht="13.5">
      <c r="A124" s="93" t="s">
        <v>408</v>
      </c>
    </row>
    <row r="125" ht="13.5">
      <c r="A125" s="93" t="s">
        <v>405</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25"/>
  <sheetViews>
    <sheetView showGridLines="0" workbookViewId="0" topLeftCell="A100">
      <selection activeCell="A122" sqref="A122"/>
    </sheetView>
  </sheetViews>
  <sheetFormatPr defaultColWidth="9.140625" defaultRowHeight="12.75"/>
  <cols>
    <col min="1" max="1" width="106.57421875" style="69" customWidth="1"/>
    <col min="2" max="16384" width="9.140625" style="69" hidden="1" customWidth="1"/>
  </cols>
  <sheetData>
    <row r="1" spans="1:2" ht="13.5">
      <c r="A1" s="93" t="s">
        <v>405</v>
      </c>
      <c r="B1" s="69">
        <f>LEN('NIDS Data Entry + Netwk tables'!C11)+LEN('NIDS Data Entry + Netwk tables'!C30)+10+5</f>
        <v>36</v>
      </c>
    </row>
    <row r="2" ht="13.5">
      <c r="A2" s="93" t="s">
        <v>406</v>
      </c>
    </row>
    <row r="3" ht="13.5">
      <c r="A3" s="93" t="str">
        <f>CONCATENATE("## Reverse Cisco CNR DNS load file for BTS Installation: ",'NIDS Data Entry + Netwk tables'!C11)</f>
        <v>## Reverse Cisco CNR DNS load file for BTS Installation: MAIN_ST</v>
      </c>
    </row>
    <row r="4" ht="13.5">
      <c r="A4" s="93" t="s">
        <v>406</v>
      </c>
    </row>
    <row r="5" ht="13.5">
      <c r="A5" s="93" t="s">
        <v>405</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broker-MAIN_ST.name.cisco.com.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broker-MAIN_ST.name.cisco.com.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brokerems-MAIN_ST.name.cisco.com.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brokerems-MAIN_ST.name.cisco.com.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sia-MAIN_STCA.name.cisco.com.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sia-MAIN_STCA.name.cisco.com.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sia-MAIN_STCA.name.cisco.com.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sia-MAIN_STCA.name.cisco.com.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mgcp-MAIN_STCA146.name.cisco.com.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mgcp-MAIN_STCA146.name.cisco.com.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crit-aMAIN_STCA.name.cisco.com.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crit-aMAIN_STCA.name.cisco.com.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crit-bMAIN_STCA.name.cisco.com.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crit-bMAIN_STCA.name.cisco.com.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sia-MAIN_STCA.name.cisco.com.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sia-MAIN_STCA.name.cisco.com.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sia-MAIN_STCA.name.cisco.com.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sia-MAIN_STCA.name.cisco.com.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sia-MAIN_STCA146.name.cisco.com.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sia-MAIN_STCA146.name.cisco.com.</v>
      </c>
    </row>
    <row r="35" ht="13.5">
      <c r="A35" s="93" t="str">
        <f>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h3a-MAIN_STCA146.name.cisco.com.</v>
      </c>
    </row>
    <row r="36" ht="13.5">
      <c r="A36" s="93" t="str">
        <f>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h3a-MAIN_STCA146.name.cisco.com.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anm-aMAIN_STCA.name.cisco.com.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anm-aMAIN_STCA.name.cisco.com.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anm-bMAIN_STCA.name.cisco.com.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anm-bMAIN_STCA.name.cisco.com.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sga-aMAIN_STCA.name.cisco.com.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sga-aMAIN_STCA.name.cisco.com.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sga-bMAIN_STCA.name.cisco.com.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sga-bMAIN_STCA.name.cisco.com.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bsm-a1MAIN_STCA.name.cisco.com.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bsm-a2MAIN_STCA.name.cisco.com.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bsm-b1MAIN_STCA.name.cisco.com.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bsm-b2MAIN_STCA.name.cisco.com.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crit-aMAIN_STAIN.name.cisco.com.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crit-aMAIN_STAIN.name.cisco.com.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crit-bMAIN_STAIN.name.cisco.com.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crit-bMAIN_STAIN.name.cisco.com.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sgw-aMAIN_STAIN.name.cisco.com.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sgw-aMAIN_STAIN.name.cisco.com.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sgw-bMAIN_STAIN.name.cisco.com.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sgw-bMAIN_STAIN.name.cisco.com.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crit-aMAIN_STPTC.name.cisco.com.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crit-aMAIN_STPTC.name.cisco.com.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crit-bMAIN_STPTC.name.cisco.com.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crit-bMAIN_STPTC.name.cisco.com.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sgw-aMAIN_STPTC.name.cisco.com.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sgw-aMAIN_STPTC.name.cisco.com.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sgw-bMAIN_STPTC.name.cisco.com.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sgw-bMAIN_STPTC.name.cisco.com.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gfs-MAIN_STPTC235.name.cisco.com.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gfs-MAIN_STPTC235.name.cisco.com.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crit-aMAIN_STEMS.name.cisco.com.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crit-aMAIN_STEMS.name.cisco.com.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crit-bMAIN_STEMS.name.cisco.com.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crit-bMAIN_STEMS.name.cisco.com.</v>
      </c>
    </row>
    <row r="71" ht="13.5">
      <c r="A71" s="93"/>
    </row>
    <row r="72" ht="13.5">
      <c r="A72" s="93"/>
    </row>
    <row r="73" ht="13.5">
      <c r="A73" s="93" t="s">
        <v>405</v>
      </c>
    </row>
    <row r="74" ht="13.5">
      <c r="A74" s="93" t="s">
        <v>410</v>
      </c>
    </row>
    <row r="75" ht="13.5">
      <c r="A75" s="93" t="s">
        <v>405</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red-aMAIN_STCA.name.cisco.com.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red-aMAIN_STCA.name.cisco.com.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red-bMAIN_STCA.name.cisco.com.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red-bMAIN_STCA.name.cisco.com.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red-aMAIN_STAIN.name.cisco.com.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red-aMAIN_STAIN.name.cisco.com.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red-bMAIN_STAIN.name.cisco.com.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red-bMAIN_STAIN.name.cisco.com.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red-aMAIN_STPTC.name.cisco.com.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red-aMAIN_STPTC.name.cisco.com.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red-bMAIN_STPTC.name.cisco.com.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red-bMAIN_STPTC.name.cisco.com.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red-aMAIN_STEMS.name.cisco.com.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red-aMAIN_STEMS.name.cisco.com.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red-bMAIN_STEMS.name.cisco.com.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red-bMAIN_STEMS.name.cisco.com.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blg-aMAIN_STEMS.name.cisco.com.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blg-aMAIN_STEMS.name.cisco.com.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blg-bMAIN_STEMS.name.cisco.com.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blg-bMAIN_STEMS.name.cisco.com.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blg-aMAIN_STCA.name.cisco.com.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blg-aMAIN_STCA.name.cisco.com.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blg-bMAIN_STCA.name.cisco.com.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blg-bMAIN_STCA.name.cisco.com.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sim-MAIN_STCA146.name.cisco.com.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sim-MAIN_STCA146.name.cisco.com.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asm-MAIN_STAIN205.name.cisco.com.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asm-MAIN_STAIN205.name.cisco.com.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pots-MAIN_STPTC235.name.cisco.com.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pots-MAIN_STPTC235.name.cisco.com.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oms-aMAIN_STCA.name.cisco.com.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oms-aMAIN_STCA.name.cisco.com.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oms-bMAIN_STCA.name.cisco.com.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oms-bMAIN_STCA.name.cisco.com.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oms-aMAIN_STAIN.name.cisco.com.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oms-aMAIN_STAIN.name.cisco.com.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oms-bMAIN_STAIN.name.cisco.com.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oms-bMAIN_STAIN.name.cisco.com.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oms-aMAIN_STPTC.name.cisco.com.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oms-aMAIN_STPTC.name.cisco.com.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oms-bMAIN_STPTC.name.cisco.com.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oms-bMAIN_STPTC.name.cisco.com.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oms-aMAIN_STEMS.name.cisco.com.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oms-aMAIN_STEMS.name.cisco.com.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oms-bMAIN_STEMS.name.cisco.com.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oms-bMAIN_STEMS.name.cisco.com.</v>
      </c>
    </row>
    <row r="122" ht="13.5">
      <c r="A122" s="93"/>
    </row>
    <row r="123" ht="13.5">
      <c r="A123" s="93" t="s">
        <v>405</v>
      </c>
    </row>
    <row r="124" ht="13.5">
      <c r="A124" s="93" t="s">
        <v>408</v>
      </c>
    </row>
    <row r="125" ht="13.5">
      <c r="A125" s="93" t="s">
        <v>405</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54"/>
  <sheetViews>
    <sheetView showGridLines="0" workbookViewId="0" topLeftCell="A129">
      <selection activeCell="A96" sqref="A96:IV96"/>
    </sheetView>
  </sheetViews>
  <sheetFormatPr defaultColWidth="9.140625" defaultRowHeight="12.75"/>
  <cols>
    <col min="1" max="1" width="98.8515625" style="69" bestFit="1" customWidth="1"/>
    <col min="2" max="16384" width="9.140625" style="69" hidden="1" customWidth="1"/>
  </cols>
  <sheetData>
    <row r="1" spans="1:2" ht="13.5">
      <c r="A1" s="93" t="s">
        <v>20</v>
      </c>
      <c r="B1" s="69">
        <f>LEN('NIDS Data Entry + Netwk tables'!C11)+LEN('NIDS Data Entry + Netwk tables'!C30)+10+5</f>
        <v>36</v>
      </c>
    </row>
    <row r="2" ht="13.5">
      <c r="A2" s="93" t="s">
        <v>19</v>
      </c>
    </row>
    <row r="3" ht="13.5">
      <c r="A3" s="93" t="str">
        <f>CONCATENATE(";## Forward DNS BIND file for BTS Installation:  ",'NIDS Data Entry + Netwk tables'!C11)</f>
        <v>;## Forward DNS BIND file for BTS Installation:  MAIN_ST</v>
      </c>
    </row>
    <row r="4" ht="13.5">
      <c r="A4" s="93" t="s">
        <v>19</v>
      </c>
    </row>
    <row r="5" ht="13.5">
      <c r="A5" s="93" t="s">
        <v>20</v>
      </c>
    </row>
    <row r="6" ht="13.5">
      <c r="A6" s="93" t="s">
        <v>375</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2005111001       ; Serial number</v>
      </c>
    </row>
    <row r="9" ht="13.5">
      <c r="A9" s="93" t="s">
        <v>21</v>
      </c>
    </row>
    <row r="10" ht="13.5">
      <c r="A10" s="93" t="s">
        <v>22</v>
      </c>
    </row>
    <row r="11" ht="13.5">
      <c r="A11" s="93" t="s">
        <v>23</v>
      </c>
    </row>
    <row r="12" ht="13.5">
      <c r="A12" s="93" t="s">
        <v>24</v>
      </c>
    </row>
    <row r="13" ht="13.5">
      <c r="A13" s="93"/>
    </row>
    <row r="14" ht="13.5">
      <c r="A14" s="93" t="s">
        <v>20</v>
      </c>
    </row>
    <row r="15" ht="13.5">
      <c r="A15" s="93" t="s">
        <v>14</v>
      </c>
    </row>
    <row r="16" ht="13.5">
      <c r="A16" s="93" t="s">
        <v>20</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20</v>
      </c>
    </row>
    <row r="27" ht="13.5">
      <c r="A27" s="93" t="s">
        <v>15</v>
      </c>
    </row>
    <row r="28" ht="13.5">
      <c r="A28" s="93" t="s">
        <v>20</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20</v>
      </c>
    </row>
    <row r="40" ht="13.5">
      <c r="A40" s="93" t="s">
        <v>17</v>
      </c>
    </row>
    <row r="41" ht="13.5">
      <c r="A41" s="93" t="s">
        <v>20</v>
      </c>
    </row>
    <row r="42" ht="13.5">
      <c r="A42" s="93"/>
    </row>
    <row r="43" ht="13.5">
      <c r="A43" s="93" t="str">
        <f>CONCATENATE('NIDS DNS table'!$B$16,".",REPT(" ",$B$1-LEN('NIDS DNS table'!$B$16)),"IN    A    ",'NIDS DNS table'!$C$16)</f>
        <v>broker-MAIN_ST.name.cisco.com.       IN    A    10.89.225.254</v>
      </c>
    </row>
    <row r="44" ht="13.5">
      <c r="A44" s="93" t="str">
        <f>CONCATENATE(REPT(" ",$B$1+1),"IN    A    ",'NIDS DNS table'!$C$17)</f>
        <v>                                     IN    A    10.89.226.254</v>
      </c>
    </row>
    <row r="45" ht="13.5">
      <c r="A45" s="93" t="str">
        <f>CONCATENATE('NIDS DNS table'!$B$18,".",REPT(" ",$B$1-LEN('NIDS DNS table'!$B$18)),"IN    A    ",'NIDS DNS table'!$C$18)</f>
        <v>brokerems-MAIN_ST.name.cisco.com.    IN    A    10.89.223.254</v>
      </c>
    </row>
    <row r="46" ht="13.5">
      <c r="A46" s="93" t="str">
        <f>CONCATENATE(REPT(" ",$B$1+1),"IN    A    ",'NIDS DNS table'!$C$19)</f>
        <v>                                     IN    A    10.89.224.254</v>
      </c>
    </row>
    <row r="47" ht="13.5">
      <c r="A47" s="93"/>
    </row>
    <row r="48" ht="13.5">
      <c r="A48" s="93" t="s">
        <v>20</v>
      </c>
    </row>
    <row r="49" ht="13.5">
      <c r="A49" s="93" t="s">
        <v>16</v>
      </c>
    </row>
    <row r="50" ht="13.5">
      <c r="A50" s="93" t="s">
        <v>20</v>
      </c>
    </row>
    <row r="51" ht="13.5">
      <c r="A51" s="93"/>
    </row>
    <row r="52" ht="13.5">
      <c r="A52" s="93" t="str">
        <f>CONCATENATE('NIDS DNS table'!$B$20,".",REPT(" ",$B$1-LEN('NIDS DNS table'!$B$20)),"IN    A    ",'NIDS DNS table'!$C$20)</f>
        <v>red-aMAIN_STCA.name.cisco.com.       IN    A    10.10.120.12</v>
      </c>
    </row>
    <row r="53" ht="13.5">
      <c r="A53" s="93" t="str">
        <f>CONCATENATE(REPT(" ",$B$1+1),"IN    A    ",'NIDS DNS table'!$C$21)</f>
        <v>                                     IN    A    10.10.121.12</v>
      </c>
    </row>
    <row r="54" ht="13.5">
      <c r="A54" s="93" t="str">
        <f>CONCATENATE('NIDS DNS table'!$B$22,".",REPT(" ",$B$1-LEN('NIDS DNS table'!$B$22)),"IN    A    ",'NIDS DNS table'!$C$22)</f>
        <v>red-bMAIN_STCA.name.cisco.com.       IN    A    10.10.120.13</v>
      </c>
    </row>
    <row r="55" ht="13.5">
      <c r="A55" s="93" t="str">
        <f>CONCATENATE(REPT(" ",$B$1+1),"IN    A    ",'NIDS DNS table'!$C$23)</f>
        <v>                                     IN    A    10.10.121.13</v>
      </c>
    </row>
    <row r="56" ht="13.5">
      <c r="A56" s="93" t="str">
        <f>CONCATENATE('NIDS DNS table'!$B$24,".",REPT(" ",$B$1-LEN('NIDS DNS table'!$B$24)),"IN    A    ",'NIDS DNS table'!$C$24)</f>
        <v>red-aMAIN_STAIN.name.cisco.com.      IN    A    10.10.120.12</v>
      </c>
    </row>
    <row r="57" ht="13.5">
      <c r="A57" s="93" t="str">
        <f>CONCATENATE(REPT(" ",$B$1+1),"IN    A    ",'NIDS DNS table'!$C$25)</f>
        <v>                                     IN    A    10.10.121.12</v>
      </c>
    </row>
    <row r="58" ht="13.5">
      <c r="A58" s="93" t="str">
        <f>CONCATENATE('NIDS DNS table'!$B$26,".",REPT(" ",$B$1-LEN('NIDS DNS table'!$B$26)),"IN    A    ",'NIDS DNS table'!$C$26)</f>
        <v>red-bMAIN_STAIN.name.cisco.com.      IN    A    10.10.120.13</v>
      </c>
    </row>
    <row r="59" ht="13.5">
      <c r="A59" s="93" t="str">
        <f>CONCATENATE(REPT(" ",$B$1+1),"IN    A    ",'NIDS DNS table'!$C$27)</f>
        <v>                                     IN    A    10.10.121.13</v>
      </c>
    </row>
    <row r="60" ht="13.5">
      <c r="A60" s="93" t="str">
        <f>CONCATENATE('NIDS DNS table'!$B$28,".",REPT(" ",$B$1-LEN('NIDS DNS table'!$B$28)),"IN    A    ",'NIDS DNS table'!$C$28)</f>
        <v>red-aMAIN_STPTC.name.cisco.com.      IN    A    10.10.120.12</v>
      </c>
    </row>
    <row r="61" ht="13.5">
      <c r="A61" s="93" t="str">
        <f>CONCATENATE(REPT(" ",$B$1+1),"IN    A    ",'NIDS DNS table'!$C$29)</f>
        <v>                                     IN    A    10.10.121.12</v>
      </c>
    </row>
    <row r="62" ht="13.5">
      <c r="A62" s="93" t="str">
        <f>CONCATENATE('NIDS DNS table'!$B$30,".",REPT(" ",$B$1-LEN('NIDS DNS table'!$B$30)),"IN    A    ",'NIDS DNS table'!$C$30)</f>
        <v>red-bMAIN_STPTC.name.cisco.com.      IN    A    10.10.120.13</v>
      </c>
    </row>
    <row r="63" ht="13.5">
      <c r="A63" s="93" t="str">
        <f>CONCATENATE(REPT(" ",$B$1+1),"IN    A    ",'NIDS DNS table'!$C$31)</f>
        <v>                                     IN    A    10.10.121.13</v>
      </c>
    </row>
    <row r="64" ht="13.5">
      <c r="A64" s="93" t="str">
        <f>CONCATENATE('NIDS DNS table'!$B$32,".",REPT(" ",$B$1-LEN('NIDS DNS table'!$B$32)),"IN    A    ",'NIDS DNS table'!$C$32)</f>
        <v>red-aMAIN_STEMS.name.cisco.com.      IN    A    10.10.122.10</v>
      </c>
    </row>
    <row r="65" ht="13.5">
      <c r="A65" s="93" t="str">
        <f>CONCATENATE(REPT(" ",$B$1+1),"IN    A    ",'NIDS DNS table'!$C$33)</f>
        <v>                                     IN    A    10.10.123.10</v>
      </c>
    </row>
    <row r="66" ht="13.5">
      <c r="A66" s="93" t="str">
        <f>CONCATENATE('NIDS DNS table'!$B$34,".",REPT(" ",$B$1-LEN('NIDS DNS table'!$B$34)),"IN    A    ",'NIDS DNS table'!$C$34)</f>
        <v>red-bMAIN_STEMS.name.cisco.com.      IN    A    10.10.122.11</v>
      </c>
    </row>
    <row r="67" ht="13.5">
      <c r="A67" s="93" t="str">
        <f>CONCATENATE(REPT(" ",$B$1+1),"IN    A    ",'NIDS DNS table'!$C$35)</f>
        <v>                                     IN    A    10.10.123.11</v>
      </c>
    </row>
    <row r="68" ht="13.5">
      <c r="A68" s="93" t="str">
        <f>CONCATENATE('NIDS DNS table'!$B$36,".",REPT(" ",$B$1-LEN('NIDS DNS table'!$B$36)),"IN    A    ",'NIDS DNS table'!$C$36)</f>
        <v>blg-aMAIN_STEMS.name.cisco.com.      IN    A    10.10.122.10</v>
      </c>
    </row>
    <row r="69" ht="13.5">
      <c r="A69" s="93" t="str">
        <f>CONCATENATE(REPT(" ",$B$1+1),"IN    A    ",'NIDS DNS table'!$C$37)</f>
        <v>                                     IN    A    10.10.123.10</v>
      </c>
    </row>
    <row r="70" ht="13.5">
      <c r="A70" s="93" t="str">
        <f>CONCATENATE('NIDS DNS table'!$B$38,".",REPT(" ",$B$1-LEN('NIDS DNS table'!$B$38)),"IN    A    ",'NIDS DNS table'!$C$38)</f>
        <v>blg-bMAIN_STEMS.name.cisco.com.      IN    A    10.10.122.11</v>
      </c>
    </row>
    <row r="71" ht="13.5">
      <c r="A71" s="93" t="str">
        <f>CONCATENATE(REPT(" ",$B$1+1),"IN    A    ",'NIDS DNS table'!$C$39)</f>
        <v>                                     IN    A    10.10.123.11</v>
      </c>
    </row>
    <row r="72" ht="13.5">
      <c r="A72" s="93" t="str">
        <f>CONCATENATE('NIDS DNS table'!$B$40,".",REPT(" ",$B$1-LEN('NIDS DNS table'!$B$40)),"IN    A    ",'NIDS DNS table'!$C$40)</f>
        <v>blg-aMAIN_STCA.name.cisco.com.       IN    A    10.10.122.12</v>
      </c>
    </row>
    <row r="73" ht="13.5">
      <c r="A73" s="93" t="str">
        <f>CONCATENATE(REPT(" ",$B$1+1),"IN    A    ",'NIDS DNS table'!$C$41)</f>
        <v>                                     IN    A    10.10.123.12</v>
      </c>
    </row>
    <row r="74" ht="13.5">
      <c r="A74" s="93" t="str">
        <f>CONCATENATE('NIDS DNS table'!$B$42,".",REPT(" ",$B$1-LEN('NIDS DNS table'!$B$42)),"IN    A    ",'NIDS DNS table'!$C$42)</f>
        <v>blg-bMAIN_STCA.name.cisco.com.       IN    A    10.10.122.13</v>
      </c>
    </row>
    <row r="75" ht="13.5">
      <c r="A75" s="93" t="str">
        <f>CONCATENATE(REPT(" ",$B$1+1),"IN    A    ",'NIDS DNS table'!$C$43)</f>
        <v>                                     IN    A    10.10.123.13</v>
      </c>
    </row>
    <row r="76" ht="13.5">
      <c r="A76" s="93" t="str">
        <f>CONCATENATE('NIDS DNS table'!$B$44,".",REPT(" ",$B$1-LEN('NIDS DNS table'!$B$44)),"IN    A    ",'NIDS DNS table'!$C$44)</f>
        <v>sia-MAIN_STCA.name.cisco.com.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mgcp-MAIN_STCA146.name.cisco.com.    IN    A    10.89.225.14</v>
      </c>
    </row>
    <row r="81" ht="13.5">
      <c r="A81" s="93" t="str">
        <f>CONCATENATE(REPT(" ",$B$1+1),"IN    A    ",'NIDS DNS table'!$C$49)</f>
        <v>                                     IN    A    10.89.226.14</v>
      </c>
    </row>
    <row r="82" ht="13.5">
      <c r="A82" s="93" t="str">
        <f>CONCATENATE('NIDS DNS table'!$B$50,".",REPT(" ",$B$1-LEN('NIDS DNS table'!$B$50)),"IN    A    ",'NIDS DNS table'!$C$50)</f>
        <v>crit-aMAIN_STCA.name.cisco.com.      IN    A    10.89.225.12</v>
      </c>
    </row>
    <row r="83" ht="13.5">
      <c r="A83" s="93" t="str">
        <f>CONCATENATE(REPT(" ",$B$1+1),"IN    A    ",'NIDS DNS table'!$C$51)</f>
        <v>                                     IN    A    10.89.226.12</v>
      </c>
    </row>
    <row r="84" ht="13.5">
      <c r="A84" s="93" t="str">
        <f>CONCATENATE('NIDS DNS table'!$B$52,".",REPT(" ",$B$1-LEN('NIDS DNS table'!$B$52)),"IN    A    ",'NIDS DNS table'!$C$52)</f>
        <v>crit-bMAIN_STCA.name.cisco.com.      IN    A    10.89.225.13</v>
      </c>
    </row>
    <row r="85" ht="13.5">
      <c r="A85" s="93" t="str">
        <f>CONCATENATE(REPT(" ",$B$1+1),"IN    A    ",'NIDS DNS table'!$C$53)</f>
        <v>                                     IN    A    10.89.226.13</v>
      </c>
    </row>
    <row r="86" ht="13.5">
      <c r="A86" s="93" t="str">
        <f>CONCATENATE('NIDS DNS table'!$B$54,".",REPT(" ",$B$1-LEN('NIDS DNS table'!$B$54)),"IN    A    ",'NIDS DNS table'!$C$54)</f>
        <v>sia-MAIN_STCA.name.cisco.com.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sia-MAIN_STCA146.name.cisco.com.     IN    A    10.89.225.16</v>
      </c>
    </row>
    <row r="91" ht="13.5">
      <c r="A91" s="93" t="str">
        <f>CONCATENATE(REPT(" ",$B$1+1),"IN    A    ",'NIDS DNS table'!$C$59)</f>
        <v>                                     IN    A    10.89.226.16</v>
      </c>
    </row>
    <row r="92" ht="13.5">
      <c r="A92" s="93" t="str">
        <f>CONCATENATE('NIDS DNS table'!$B$60,".",REPT(" ",$B$1-LEN('NIDS DNS table'!$B$60)),"IN    A    ",'NIDS DNS table'!$C$60)</f>
        <v>h3a-MAIN_STCA146.name.cisco.com.     IN    A    10.89.225.17</v>
      </c>
    </row>
    <row r="93" ht="13.5">
      <c r="A93" s="93" t="str">
        <f>CONCATENATE(REPT(" ",$B$1+1),"IN    A    ",'NIDS DNS table'!$C$61)</f>
        <v>                                     IN    A    10.89.226.17</v>
      </c>
    </row>
    <row r="94" ht="13.5">
      <c r="A94" s="93" t="str">
        <f>CONCATENATE('NIDS DNS table'!$B$62,".",REPT(" ",$B$1-LEN('NIDS DNS table'!$B$62)),"IN    A    ",'NIDS DNS table'!$C$62)</f>
        <v>sim-MAIN_STCA146.name.cisco.com.     IN    A    10.10.124.146</v>
      </c>
    </row>
    <row r="95" ht="13.5">
      <c r="A95" s="93" t="str">
        <f>CONCATENATE(REPT(" ",$B$1+1),"IN    A    ",'NIDS DNS table'!$C$63)</f>
        <v>                                     IN    A    10.10.125.146</v>
      </c>
    </row>
    <row r="96" ht="13.5">
      <c r="A96" s="93" t="str">
        <f>CONCATENATE('NIDS DNS table'!$B$64,".",REPT(" ",$B$1-LEN('NIDS DNS table'!$B$64)),"IN    A    ",'NIDS DNS table'!$C$64)</f>
        <v>anm-aMAIN_STCA.name.cisco.com.       IN    A    10.89.225.12</v>
      </c>
    </row>
    <row r="97" ht="13.5">
      <c r="A97" s="93" t="str">
        <f>CONCATENATE(REPT(" ",$B$1+1),"IN    A    ",'NIDS DNS table'!$C$65)</f>
        <v>                                     IN    A    10.89.226.12</v>
      </c>
    </row>
    <row r="98" ht="13.5">
      <c r="A98" s="93" t="str">
        <f>CONCATENATE('NIDS DNS table'!$B$66,".",REPT(" ",$B$1-LEN('NIDS DNS table'!$B$66)),"IN    A    ",'NIDS DNS table'!$C$66)</f>
        <v>anm-bMAIN_STCA.name.cisco.com.       IN    A    10.89.225.13</v>
      </c>
    </row>
    <row r="99" ht="13.5">
      <c r="A99" s="93" t="str">
        <f>CONCATENATE(REPT(" ",$B$1+1),"IN    A    ",'NIDS DNS table'!$C$67)</f>
        <v>                                     IN    A    10.89.226.13</v>
      </c>
    </row>
    <row r="100" ht="13.5">
      <c r="A100" s="93" t="str">
        <f>CONCATENATE('NIDS DNS table'!$B$68,".",REPT(" ",$B$1-LEN('NIDS DNS table'!$B$68)),"IN    A    ",'NIDS DNS table'!$C$68)</f>
        <v>sga-aMAIN_STCA.name.cisco.com.       IN    A    10.89.225.12</v>
      </c>
    </row>
    <row r="101" ht="13.5">
      <c r="A101" s="93" t="str">
        <f>CONCATENATE(REPT(" ",$B$1+1),"IN    A    ",'NIDS DNS table'!$C$69)</f>
        <v>                                     IN    A    10.89.226.12</v>
      </c>
    </row>
    <row r="102" ht="13.5">
      <c r="A102" s="93" t="str">
        <f>CONCATENATE('NIDS DNS table'!$B$70,".",REPT(" ",$B$1-LEN('NIDS DNS table'!$B$70)),"IN    A    ",'NIDS DNS table'!$C$70)</f>
        <v>sga-bMAIN_STCA.name.cisco.com.       IN    A    10.89.225.13</v>
      </c>
    </row>
    <row r="103" ht="13.5">
      <c r="A103" s="93" t="str">
        <f>CONCATENATE(REPT(" ",$B$1+1),"IN    A    ",'NIDS DNS table'!$C$71)</f>
        <v>                                     IN    A    10.89.226.13</v>
      </c>
    </row>
    <row r="104" ht="13.5">
      <c r="A104" s="93" t="str">
        <f>CONCATENATE('NIDS DNS table'!$B$72,".",REPT(" ",$B$1-LEN('NIDS DNS table'!$B$72)),"IN    A    ",'NIDS DNS table'!$C$72)</f>
        <v>bsm-a1MAIN_STCA.name.cisco.com.      IN    A    10.89.225.12</v>
      </c>
    </row>
    <row r="105" ht="13.5">
      <c r="A105" s="93" t="str">
        <f>CONCATENATE('NIDS DNS table'!$B$73,".",REPT(" ",$B$1-LEN('NIDS DNS table'!$B$73)),"IN    A    ",'NIDS DNS table'!$C$73)</f>
        <v>bsm-a2MAIN_STCA.name.cisco.com.      IN    A    10.89.226.12</v>
      </c>
    </row>
    <row r="106" ht="13.5">
      <c r="A106" s="93" t="str">
        <f>CONCATENATE('NIDS DNS table'!$B$74,".",REPT(" ",$B$1-LEN('NIDS DNS table'!$B$74)),"IN    A    ",'NIDS DNS table'!$C$74)</f>
        <v>bsm-b1MAIN_STCA.name.cisco.com.      IN    A    10.89.225.13</v>
      </c>
    </row>
    <row r="107" ht="13.5">
      <c r="A107" s="93" t="str">
        <f>CONCATENATE('NIDS DNS table'!$B$75,".",REPT(" ",$B$1-LEN('NIDS DNS table'!$B$75)),"IN    A    ",'NIDS DNS table'!$C$75)</f>
        <v>bsm-b2MAIN_STCA.name.cisco.com.      IN    A    10.89.226.13</v>
      </c>
    </row>
    <row r="108" ht="13.5">
      <c r="A108" s="93" t="str">
        <f>CONCATENATE('NIDS DNS table'!$B$76,".",REPT(" ",$B$1-LEN('NIDS DNS table'!$B$76)),"IN    A    ",'NIDS DNS table'!$C$76)</f>
        <v>asm-MAIN_STAIN205.name.cisco.com.    IN    A    10.10.124.205</v>
      </c>
    </row>
    <row r="109" ht="13.5">
      <c r="A109" s="93" t="str">
        <f>CONCATENATE(REPT(" ",$B$1+1),"IN    A    ",'NIDS DNS table'!$C$77)</f>
        <v>                                     IN    A    10.10.125.205</v>
      </c>
    </row>
    <row r="110" ht="13.5">
      <c r="A110" s="93" t="str">
        <f>CONCATENATE('NIDS DNS table'!$B$78,".",REPT(" ",$B$1-LEN('NIDS DNS table'!$B$78)),"IN    A    ",'NIDS DNS table'!$C$78)</f>
        <v>crit-aMAIN_STAIN.name.cisco.com.     IN    A    10.89.225.12</v>
      </c>
    </row>
    <row r="111" ht="13.5">
      <c r="A111" s="93" t="str">
        <f>CONCATENATE(REPT(" ",$B$1+1),"IN    A    ",'NIDS DNS table'!$C$79)</f>
        <v>                                     IN    A    10.89.226.12</v>
      </c>
    </row>
    <row r="112" ht="13.5">
      <c r="A112" s="93" t="str">
        <f>CONCATENATE('NIDS DNS table'!$B$80,".",REPT(" ",$B$1-LEN('NIDS DNS table'!$B$80)),"IN    A    ",'NIDS DNS table'!$C$80)</f>
        <v>crit-bMAIN_STAIN.name.cisco.com.     IN    A    10.89.225.13</v>
      </c>
    </row>
    <row r="113" ht="13.5">
      <c r="A113" s="93" t="str">
        <f>CONCATENATE(REPT(" ",$B$1+1),"IN    A    ",'NIDS DNS table'!$C$81)</f>
        <v>                                     IN    A    10.89.226.13</v>
      </c>
    </row>
    <row r="114" ht="13.5">
      <c r="A114" s="93" t="str">
        <f>CONCATENATE('NIDS DNS table'!$B$82,".",REPT(" ",$B$1-LEN('NIDS DNS table'!$B$82)),"IN    A    ",'NIDS DNS table'!$C$82)</f>
        <v>sgw-aMAIN_STAIN.name.cisco.com.      IN    A    10.89.225.12</v>
      </c>
    </row>
    <row r="115" ht="13.5">
      <c r="A115" s="93" t="str">
        <f>CONCATENATE(REPT(" ",$B$1+1),"IN    A    ",'NIDS DNS table'!$C$83)</f>
        <v>                                     IN    A    10.89.226.12</v>
      </c>
    </row>
    <row r="116" ht="13.5">
      <c r="A116" s="93" t="str">
        <f>CONCATENATE('NIDS DNS table'!$B$84,".",REPT(" ",$B$1-LEN('NIDS DNS table'!$B$84)),"IN    A    ",'NIDS DNS table'!$C$84)</f>
        <v>sgw-bMAIN_STAIN.name.cisco.com.      IN    A    10.89.225.13</v>
      </c>
    </row>
    <row r="117" ht="13.5">
      <c r="A117" s="93" t="str">
        <f>CONCATENATE(REPT(" ",$B$1+1),"IN    A    ",'NIDS DNS table'!$C$85)</f>
        <v>                                     IN    A    10.89.226.13</v>
      </c>
    </row>
    <row r="118" ht="13.5">
      <c r="A118" s="93" t="str">
        <f>CONCATENATE('NIDS DNS table'!$B$86,".",REPT(" ",$B$1-LEN('NIDS DNS table'!$B$86)),"IN    A    ",'NIDS DNS table'!$C$86)</f>
        <v>pots-MAIN_STPTC235.name.cisco.com.   IN    A    10.10.124.235</v>
      </c>
    </row>
    <row r="119" ht="13.5">
      <c r="A119" s="93" t="str">
        <f>CONCATENATE(REPT(" ",$B$1+1),"IN    A    ",'NIDS DNS table'!$C$87)</f>
        <v>                                     IN    A    10.10.125.235</v>
      </c>
    </row>
    <row r="120" ht="13.5">
      <c r="A120" s="93" t="str">
        <f>CONCATENATE('NIDS DNS table'!$B$88,".",REPT(" ",$B$1-LEN('NIDS DNS table'!$B$88)),"IN    A    ",'NIDS DNS table'!$C$88)</f>
        <v>crit-aMAIN_STPTC.name.cisco.com.     IN    A    10.89.225.12</v>
      </c>
    </row>
    <row r="121" ht="13.5">
      <c r="A121" s="93" t="str">
        <f>CONCATENATE(REPT(" ",$B$1+1),"IN    A    ",'NIDS DNS table'!$C$89)</f>
        <v>                                     IN    A    10.89.226.12</v>
      </c>
    </row>
    <row r="122" ht="13.5">
      <c r="A122" s="93" t="str">
        <f>CONCATENATE('NIDS DNS table'!$B$90,".",REPT(" ",$B$1-LEN('NIDS DNS table'!$B$90)),"IN    A    ",'NIDS DNS table'!$C$90)</f>
        <v>crit-bMAIN_STPTC.name.cisco.com.     IN    A    10.89.225.13</v>
      </c>
    </row>
    <row r="123" ht="13.5">
      <c r="A123" s="93" t="str">
        <f>CONCATENATE(REPT(" ",$B$1+1),"IN    A    ",'NIDS DNS table'!$C$91)</f>
        <v>                                     IN    A    10.89.226.13</v>
      </c>
    </row>
    <row r="124" ht="13.5">
      <c r="A124" s="93" t="str">
        <f>CONCATENATE('NIDS DNS table'!$B$92,".",REPT(" ",$B$1-LEN('NIDS DNS table'!$B$92)),"IN    A    ",'NIDS DNS table'!$C$92)</f>
        <v>sgw-aMAIN_STPTC.name.cisco.com.      IN    A    10.89.225.12</v>
      </c>
    </row>
    <row r="125" ht="13.5">
      <c r="A125" s="93" t="str">
        <f>CONCATENATE(REPT(" ",$B$1+1),"IN    A    ",'NIDS DNS table'!$C$93)</f>
        <v>                                     IN    A    10.89.226.12</v>
      </c>
    </row>
    <row r="126" ht="13.5">
      <c r="A126" s="93" t="str">
        <f>CONCATENATE('NIDS DNS table'!$B$94,".",REPT(" ",$B$1-LEN('NIDS DNS table'!$B$94)),"IN    A    ",'NIDS DNS table'!$C$94)</f>
        <v>sgw-bMAIN_STPTC.name.cisco.com.      IN    A    10.89.225.13</v>
      </c>
    </row>
    <row r="127" ht="13.5">
      <c r="A127" s="93" t="str">
        <f>CONCATENATE(REPT(" ",$B$1+1),"IN    A    ",'NIDS DNS table'!$C$95)</f>
        <v>                                     IN    A    10.89.226.13</v>
      </c>
    </row>
    <row r="128" ht="13.5">
      <c r="A128" s="93" t="str">
        <f>CONCATENATE('NIDS DNS table'!$B$96,".",REPT(" ",$B$1-LEN('NIDS DNS table'!$B$96)),"IN    A    ",'NIDS DNS table'!$C$96)</f>
        <v>gfs-MAIN_STPTC235.name.cisco.com.    IN    A    10.89.225.15</v>
      </c>
    </row>
    <row r="129" ht="13.5">
      <c r="A129" s="93" t="str">
        <f>CONCATENATE(REPT(" ",$B$1+1),"IN    A    ",'NIDS DNS table'!$C$97)</f>
        <v>                                     IN    A    10.89.226.15</v>
      </c>
    </row>
    <row r="130" ht="13.5">
      <c r="A130" s="93" t="str">
        <f>CONCATENATE('NIDS DNS table'!$B$98,".",REPT(" ",$B$1-LEN('NIDS DNS table'!$B$98)),"IN    A    ",'NIDS DNS table'!$C$98)</f>
        <v>crit-aMAIN_STEMS.name.cisco.com.     IN    A    10.89.223.10</v>
      </c>
    </row>
    <row r="131" ht="13.5">
      <c r="A131" s="93" t="str">
        <f>CONCATENATE(REPT(" ",$B$1+1),"IN    A    ",'NIDS DNS table'!$C$99)</f>
        <v>                                     IN    A    10.89.224.10</v>
      </c>
    </row>
    <row r="132" ht="13.5">
      <c r="A132" s="93" t="str">
        <f>CONCATENATE('NIDS DNS table'!$B$100,".",REPT(" ",$B$1-LEN('NIDS DNS table'!$B$100)),"IN    A    ",'NIDS DNS table'!$C$100)</f>
        <v>crit-bMAIN_STEMS.name.cisco.com.     IN    A    10.89.223.11</v>
      </c>
    </row>
    <row r="133" ht="13.5">
      <c r="A133" s="93" t="str">
        <f>CONCATENATE(REPT(" ",$B$1+1),"IN    A    ",'NIDS DNS table'!$C$101)</f>
        <v>                                     IN    A    10.89.224.11</v>
      </c>
    </row>
    <row r="134" ht="13.5">
      <c r="A134" s="93" t="str">
        <f>CONCATENATE('NIDS DNS table'!$B$102,".",REPT(" ",$B$1-LEN('NIDS DNS table'!$B$102)),"IN    A    ",'NIDS DNS table'!$C$102)</f>
        <v>oms-aMAIN_STCA.name.cisco.com.       IN    A    10.10.122.12</v>
      </c>
    </row>
    <row r="135" ht="13.5">
      <c r="A135" s="93" t="str">
        <f>CONCATENATE(REPT(" ",$B$1+1),"IN    A    ",'NIDS DNS table'!$C$103)</f>
        <v>                                     IN    A    10.10.123.12</v>
      </c>
    </row>
    <row r="136" ht="13.5">
      <c r="A136" s="93" t="str">
        <f>CONCATENATE('NIDS DNS table'!$B$104,".",REPT(" ",$B$1-LEN('NIDS DNS table'!$B$104)),"IN    A    ",'NIDS DNS table'!$C$104)</f>
        <v>oms-bMAIN_STCA.name.cisco.com.       IN    A    10.10.122.13</v>
      </c>
    </row>
    <row r="137" ht="13.5">
      <c r="A137" s="93" t="str">
        <f>CONCATENATE(REPT(" ",$B$1+1),"IN    A    ",'NIDS DNS table'!$C$105)</f>
        <v>                                     IN    A    10.10.123.13</v>
      </c>
    </row>
    <row r="138" ht="13.5">
      <c r="A138" s="93" t="str">
        <f>CONCATENATE('NIDS DNS table'!$B$106,".",REPT(" ",$B$1-LEN('NIDS DNS table'!$B$106)),"IN    A    ",'NIDS DNS table'!$C$106)</f>
        <v>oms-aMAIN_STAIN.name.cisco.com.      IN    A    10.10.122.12</v>
      </c>
    </row>
    <row r="139" ht="13.5">
      <c r="A139" s="93" t="str">
        <f>CONCATENATE(REPT(" ",$B$1+1),"IN    A    ",'NIDS DNS table'!$C$107)</f>
        <v>                                     IN    A    10.10.123.12</v>
      </c>
    </row>
    <row r="140" ht="13.5">
      <c r="A140" s="93" t="str">
        <f>CONCATENATE('NIDS DNS table'!$B$108,".",REPT(" ",$B$1-LEN('NIDS DNS table'!$B$108)),"IN    A    ",'NIDS DNS table'!$C$108)</f>
        <v>oms-bMAIN_STAIN.name.cisco.com.      IN    A    10.10.122.13</v>
      </c>
    </row>
    <row r="141" ht="13.5">
      <c r="A141" s="93" t="str">
        <f>CONCATENATE(REPT(" ",$B$1+1),"IN    A    ",'NIDS DNS table'!$C$109)</f>
        <v>                                     IN    A    10.10.123.13</v>
      </c>
    </row>
    <row r="142" ht="13.5">
      <c r="A142" s="93" t="str">
        <f>CONCATENATE('NIDS DNS table'!$B$110,".",REPT(" ",$B$1-LEN('NIDS DNS table'!$B$110)),"IN    A    ",'NIDS DNS table'!$C$110)</f>
        <v>oms-aMAIN_STPTC.name.cisco.com.      IN    A    10.10.122.12</v>
      </c>
    </row>
    <row r="143" ht="13.5">
      <c r="A143" s="93" t="str">
        <f>CONCATENATE(REPT(" ",$B$1+1),"IN    A    ",'NIDS DNS table'!$C$111)</f>
        <v>                                     IN    A    10.10.123.12</v>
      </c>
    </row>
    <row r="144" ht="13.5">
      <c r="A144" s="93" t="str">
        <f>CONCATENATE('NIDS DNS table'!$B$112,".",REPT(" ",$B$1-LEN('NIDS DNS table'!$B$112)),"IN    A    ",'NIDS DNS table'!$C$112)</f>
        <v>oms-bMAIN_STPTC.name.cisco.com.      IN    A    10.10.122.13</v>
      </c>
    </row>
    <row r="145" ht="13.5">
      <c r="A145" s="93" t="str">
        <f>CONCATENATE(REPT(" ",$B$1+1),"IN    A    ",'NIDS DNS table'!$C$113)</f>
        <v>                                     IN    A    10.10.123.13</v>
      </c>
    </row>
    <row r="146" ht="13.5">
      <c r="A146" s="93" t="str">
        <f>CONCATENATE('NIDS DNS table'!$B$114,".",REPT(" ",$B$1-LEN('NIDS DNS table'!$B$114)),"IN    A    ",'NIDS DNS table'!$C$114)</f>
        <v>oms-aMAIN_STEMS.name.cisco.com.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oms-bMAIN_STEMS.name.cisco.com.      IN    A    10.10.122.11</v>
      </c>
    </row>
    <row r="149" s="92" customFormat="1" ht="13.5">
      <c r="A149" s="93" t="str">
        <f>CONCATENATE(REPT(" ",$B$1+1),"IN    A    ",'NIDS DNS table'!$C$117)</f>
        <v>                                     IN    A    10.10.123.11</v>
      </c>
    </row>
    <row r="150" s="92" customFormat="1" ht="13.5">
      <c r="A150" s="93"/>
    </row>
    <row r="151" s="92" customFormat="1" ht="13.5">
      <c r="A151" s="93" t="s">
        <v>20</v>
      </c>
    </row>
    <row r="152" s="92" customFormat="1" ht="13.5">
      <c r="A152" s="93" t="s">
        <v>18</v>
      </c>
    </row>
    <row r="153" ht="13.5">
      <c r="A153" s="93" t="s">
        <v>20</v>
      </c>
    </row>
    <row r="154" ht="12.75">
      <c r="A154"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User</cp:lastModifiedBy>
  <cp:lastPrinted>2005-11-08T20:43:07Z</cp:lastPrinted>
  <dcterms:created xsi:type="dcterms:W3CDTF">2004-09-10T18:44:44Z</dcterms:created>
  <dcterms:modified xsi:type="dcterms:W3CDTF">2005-11-10T16:28:08Z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